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по домам 2016 год\"/>
    </mc:Choice>
  </mc:AlternateContent>
  <bookViews>
    <workbookView xWindow="240" yWindow="105" windowWidth="15480" windowHeight="8130" activeTab="1"/>
  </bookViews>
  <sheets>
    <sheet name="2016 год" sheetId="1" r:id="rId1"/>
    <sheet name="Лист1" sheetId="2" r:id="rId2"/>
  </sheets>
  <definedNames>
    <definedName name="_xlnm.Print_Area" localSheetId="0">'2016 год'!$A$1:$O$68</definedName>
    <definedName name="_xlnm.Print_Area" localSheetId="1">Лист1!$A$1:$E$40</definedName>
  </definedNames>
  <calcPr calcId="152511" refMode="R1C1"/>
  <webPublishing codePage="65001"/>
</workbook>
</file>

<file path=xl/calcChain.xml><?xml version="1.0" encoding="utf-8"?>
<calcChain xmlns="http://schemas.openxmlformats.org/spreadsheetml/2006/main">
  <c r="J33" i="1" l="1"/>
  <c r="E24" i="2" l="1"/>
  <c r="B18" i="2" l="1"/>
  <c r="C18" i="2"/>
  <c r="D18" i="2"/>
  <c r="E18" i="2"/>
  <c r="B19" i="2"/>
  <c r="C19" i="2"/>
  <c r="D19" i="2"/>
  <c r="E19" i="2"/>
  <c r="B20" i="2"/>
  <c r="C20" i="2"/>
  <c r="D20" i="2"/>
  <c r="E20" i="2"/>
  <c r="B21" i="2"/>
  <c r="C21" i="2"/>
  <c r="D21" i="2"/>
  <c r="E21" i="2"/>
  <c r="B22" i="2"/>
  <c r="C22" i="2"/>
  <c r="D22" i="2"/>
  <c r="E22" i="2"/>
  <c r="B23" i="2"/>
  <c r="E23" i="2"/>
  <c r="B24" i="2"/>
  <c r="C24" i="2"/>
  <c r="D24" i="2"/>
  <c r="B25" i="2"/>
  <c r="C25" i="2"/>
  <c r="D25" i="2"/>
  <c r="E25" i="2"/>
  <c r="B26" i="2"/>
  <c r="C26" i="2"/>
  <c r="D26" i="2"/>
  <c r="E26" i="2"/>
  <c r="B27" i="2"/>
  <c r="C27" i="2"/>
  <c r="D27" i="2"/>
  <c r="E27" i="2"/>
  <c r="B28" i="2"/>
  <c r="E28" i="2"/>
  <c r="B29" i="2"/>
  <c r="C29" i="2"/>
  <c r="D29" i="2"/>
  <c r="E29" i="2"/>
  <c r="B30" i="2"/>
  <c r="E30" i="2"/>
  <c r="B31" i="2"/>
  <c r="E31" i="2"/>
  <c r="B32" i="2"/>
  <c r="C32" i="2"/>
  <c r="D32" i="2"/>
  <c r="E32" i="2"/>
  <c r="B33" i="2"/>
  <c r="E33" i="2"/>
  <c r="B34" i="2"/>
  <c r="E34" i="2"/>
  <c r="B35" i="2"/>
  <c r="C35" i="2"/>
  <c r="D35" i="2"/>
  <c r="E35" i="2"/>
  <c r="B36" i="2"/>
  <c r="E36" i="2"/>
  <c r="C17" i="2"/>
  <c r="D17" i="2"/>
  <c r="E17" i="2"/>
  <c r="E37" i="2" s="1"/>
  <c r="B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17" i="2"/>
  <c r="N33" i="1" l="1"/>
  <c r="N31" i="1"/>
  <c r="C7" i="1" l="1"/>
  <c r="N28" i="1"/>
  <c r="N27" i="1"/>
  <c r="N26" i="1"/>
  <c r="N25" i="1"/>
  <c r="N24" i="1"/>
  <c r="N23" i="1"/>
  <c r="N22" i="1"/>
  <c r="N21" i="1"/>
  <c r="N20" i="1"/>
  <c r="N19" i="1"/>
  <c r="D21" i="1"/>
  <c r="E21" i="1"/>
  <c r="F21" i="1"/>
  <c r="G21" i="1"/>
  <c r="H21" i="1"/>
  <c r="I21" i="1"/>
  <c r="J21" i="1"/>
  <c r="K21" i="1"/>
  <c r="L21" i="1"/>
  <c r="M21" i="1"/>
  <c r="C21" i="1"/>
  <c r="N18" i="1" l="1"/>
  <c r="N34" i="1" s="1"/>
  <c r="O21" i="1"/>
  <c r="E7" i="2" s="1"/>
  <c r="A12" i="2"/>
  <c r="A13" i="2"/>
  <c r="A10" i="2"/>
  <c r="A11" i="2"/>
  <c r="A9" i="2"/>
  <c r="A8" i="2"/>
  <c r="A7" i="2"/>
  <c r="A6" i="2"/>
  <c r="E2" i="2"/>
  <c r="M33" i="1" l="1"/>
  <c r="M31" i="1"/>
  <c r="M29" i="1"/>
  <c r="M28" i="1"/>
  <c r="M27" i="1"/>
  <c r="M26" i="1"/>
  <c r="M25" i="1"/>
  <c r="M24" i="1"/>
  <c r="M23" i="1"/>
  <c r="M22" i="1"/>
  <c r="M20" i="1"/>
  <c r="M19" i="1"/>
  <c r="M18" i="1" s="1"/>
  <c r="M34" i="1" s="1"/>
  <c r="L30" i="1" l="1"/>
  <c r="L33" i="1" l="1"/>
  <c r="L29" i="1" l="1"/>
  <c r="L28" i="1"/>
  <c r="L27" i="1"/>
  <c r="L26" i="1"/>
  <c r="L25" i="1"/>
  <c r="L24" i="1"/>
  <c r="L23" i="1"/>
  <c r="L22" i="1"/>
  <c r="L20" i="1"/>
  <c r="L19" i="1"/>
  <c r="K9" i="1"/>
  <c r="L18" i="1" l="1"/>
  <c r="L34" i="1" s="1"/>
  <c r="K33" i="1"/>
  <c r="K29" i="1" l="1"/>
  <c r="K28" i="1"/>
  <c r="K27" i="1"/>
  <c r="K26" i="1"/>
  <c r="K25" i="1"/>
  <c r="K24" i="1"/>
  <c r="K23" i="1"/>
  <c r="K22" i="1"/>
  <c r="K20" i="1"/>
  <c r="K19" i="1"/>
  <c r="K18" i="1" s="1"/>
  <c r="K34" i="1" l="1"/>
  <c r="J29" i="1"/>
  <c r="J28" i="1"/>
  <c r="J27" i="1"/>
  <c r="J26" i="1"/>
  <c r="J25" i="1"/>
  <c r="J24" i="1"/>
  <c r="J23" i="1"/>
  <c r="J22" i="1"/>
  <c r="J20" i="1"/>
  <c r="J19" i="1"/>
  <c r="I33" i="1"/>
  <c r="J18" i="1" l="1"/>
  <c r="J34" i="1"/>
  <c r="D25" i="1"/>
  <c r="E25" i="1"/>
  <c r="F25" i="1"/>
  <c r="G25" i="1"/>
  <c r="H25" i="1"/>
  <c r="I25" i="1"/>
  <c r="C25" i="1"/>
  <c r="D24" i="1"/>
  <c r="E24" i="1"/>
  <c r="F24" i="1"/>
  <c r="G24" i="1"/>
  <c r="H24" i="1"/>
  <c r="I24" i="1"/>
  <c r="C24" i="1"/>
  <c r="H33" i="1" l="1"/>
  <c r="I29" i="1"/>
  <c r="O29" i="1" s="1"/>
  <c r="E11" i="2" s="1"/>
  <c r="F68" i="1" l="1"/>
  <c r="F33" i="1"/>
  <c r="O32" i="1"/>
  <c r="C33" i="1"/>
  <c r="D33" i="1"/>
  <c r="D19" i="1"/>
  <c r="D18" i="1" s="1"/>
  <c r="E19" i="1"/>
  <c r="E18" i="1" s="1"/>
  <c r="F19" i="1"/>
  <c r="F18" i="1" s="1"/>
  <c r="G19" i="1"/>
  <c r="H19" i="1"/>
  <c r="I19" i="1"/>
  <c r="O33" i="1" l="1"/>
  <c r="I28" i="1"/>
  <c r="I27" i="1"/>
  <c r="I26" i="1"/>
  <c r="I23" i="1"/>
  <c r="I22" i="1"/>
  <c r="I20" i="1"/>
  <c r="I18" i="1" s="1"/>
  <c r="I34" i="1" l="1"/>
  <c r="G20" i="1"/>
  <c r="G18" i="1" s="1"/>
  <c r="H28" i="1" l="1"/>
  <c r="H27" i="1"/>
  <c r="H26" i="1"/>
  <c r="H23" i="1"/>
  <c r="H22" i="1"/>
  <c r="H20" i="1"/>
  <c r="H18" i="1" s="1"/>
  <c r="H34" i="1" s="1"/>
  <c r="D14" i="1" l="1"/>
  <c r="E14" i="1"/>
  <c r="F14" i="1"/>
  <c r="G14" i="1"/>
  <c r="H14" i="1"/>
  <c r="I14" i="1"/>
  <c r="J14" i="1"/>
  <c r="K14" i="1"/>
  <c r="L14" i="1"/>
  <c r="M14" i="1"/>
  <c r="N14" i="1"/>
  <c r="D15" i="1"/>
  <c r="E15" i="1"/>
  <c r="F15" i="1"/>
  <c r="G15" i="1"/>
  <c r="H15" i="1"/>
  <c r="H35" i="1" s="1"/>
  <c r="I15" i="1"/>
  <c r="I35" i="1" s="1"/>
  <c r="J15" i="1"/>
  <c r="J35" i="1" s="1"/>
  <c r="K15" i="1"/>
  <c r="K35" i="1" s="1"/>
  <c r="L15" i="1"/>
  <c r="L35" i="1" s="1"/>
  <c r="M15" i="1"/>
  <c r="M35" i="1" s="1"/>
  <c r="N15" i="1"/>
  <c r="N35" i="1" s="1"/>
  <c r="C15" i="1"/>
  <c r="C14" i="1"/>
  <c r="D13" i="1"/>
  <c r="E13" i="1"/>
  <c r="F13" i="1"/>
  <c r="G13" i="1"/>
  <c r="H13" i="1"/>
  <c r="I13" i="1"/>
  <c r="J13" i="1"/>
  <c r="K13" i="1"/>
  <c r="L13" i="1"/>
  <c r="M13" i="1"/>
  <c r="N13" i="1"/>
  <c r="C13" i="1"/>
  <c r="D10" i="1"/>
  <c r="E10" i="1"/>
  <c r="F10" i="1"/>
  <c r="G10" i="1"/>
  <c r="H10" i="1"/>
  <c r="I10" i="1"/>
  <c r="J10" i="1"/>
  <c r="K10" i="1"/>
  <c r="L10" i="1"/>
  <c r="M10" i="1"/>
  <c r="N10" i="1"/>
  <c r="C10" i="1"/>
  <c r="D7" i="1"/>
  <c r="D16" i="1" s="1"/>
  <c r="E7" i="1"/>
  <c r="E16" i="1" s="1"/>
  <c r="F7" i="1"/>
  <c r="F16" i="1" s="1"/>
  <c r="G7" i="1"/>
  <c r="G16" i="1" s="1"/>
  <c r="H7" i="1"/>
  <c r="H16" i="1" s="1"/>
  <c r="I7" i="1"/>
  <c r="I16" i="1" s="1"/>
  <c r="J7" i="1"/>
  <c r="K7" i="1"/>
  <c r="L7" i="1"/>
  <c r="M7" i="1"/>
  <c r="M16" i="1" s="1"/>
  <c r="N7" i="1"/>
  <c r="C16" i="1"/>
  <c r="N16" i="1" l="1"/>
  <c r="L16" i="1"/>
  <c r="K16" i="1"/>
  <c r="J16" i="1"/>
  <c r="O11" i="1"/>
  <c r="O12" i="1"/>
  <c r="O14" i="1"/>
  <c r="E3" i="2" s="1"/>
  <c r="O13" i="1" l="1"/>
  <c r="O15" i="1"/>
  <c r="E4" i="2" s="1"/>
  <c r="G28" i="1"/>
  <c r="G27" i="1"/>
  <c r="G26" i="1"/>
  <c r="G23" i="1"/>
  <c r="G22" i="1"/>
  <c r="G34" i="1" s="1"/>
  <c r="G35" i="1" l="1"/>
  <c r="D30" i="1"/>
  <c r="E30" i="1" l="1"/>
  <c r="D31" i="1"/>
  <c r="D28" i="1" l="1"/>
  <c r="E28" i="1"/>
  <c r="F28" i="1"/>
  <c r="C28" i="1"/>
  <c r="C27" i="1"/>
  <c r="D26" i="1"/>
  <c r="E26" i="1"/>
  <c r="F26" i="1"/>
  <c r="C26" i="1"/>
  <c r="D23" i="1"/>
  <c r="E23" i="1"/>
  <c r="F23" i="1"/>
  <c r="C23" i="1"/>
  <c r="D22" i="1"/>
  <c r="E22" i="1"/>
  <c r="F22" i="1"/>
  <c r="F34" i="1" s="1"/>
  <c r="C22" i="1"/>
  <c r="C19" i="1"/>
  <c r="C18" i="1" s="1"/>
  <c r="D27" i="1"/>
  <c r="E27" i="1"/>
  <c r="F27" i="1"/>
  <c r="O5" i="1"/>
  <c r="O30" i="1"/>
  <c r="E12" i="2" s="1"/>
  <c r="O18" i="1" l="1"/>
  <c r="E6" i="2" s="1"/>
  <c r="C34" i="1"/>
  <c r="C35" i="1" s="1"/>
  <c r="E34" i="1"/>
  <c r="E35" i="1" s="1"/>
  <c r="D34" i="1"/>
  <c r="D35" i="1" s="1"/>
  <c r="F35" i="1"/>
  <c r="O25" i="1"/>
  <c r="O22" i="1"/>
  <c r="O23" i="1"/>
  <c r="O27" i="1"/>
  <c r="E9" i="2" s="1"/>
  <c r="O24" i="1"/>
  <c r="O19" i="1"/>
  <c r="O28" i="1"/>
  <c r="E10" i="2" s="1"/>
  <c r="O20" i="1"/>
  <c r="O35" i="1" l="1"/>
  <c r="E39" i="2"/>
  <c r="O34" i="1"/>
  <c r="O31" i="1"/>
  <c r="E13" i="2" s="1"/>
  <c r="O26" i="1" l="1"/>
  <c r="E8" i="2" s="1"/>
  <c r="E14" i="2" s="1"/>
  <c r="E38" i="2" l="1"/>
  <c r="P34" i="1" s="1"/>
  <c r="O6" i="1"/>
  <c r="O8" i="1"/>
  <c r="O9" i="1"/>
  <c r="O7" i="1" l="1"/>
  <c r="O10" i="1" l="1"/>
  <c r="O16" i="1"/>
  <c r="N41" i="1" l="1"/>
  <c r="N43" i="1" l="1"/>
  <c r="E40" i="2" s="1"/>
</calcChain>
</file>

<file path=xl/sharedStrings.xml><?xml version="1.0" encoding="utf-8"?>
<sst xmlns="http://schemas.openxmlformats.org/spreadsheetml/2006/main" count="131" uniqueCount="98">
  <si>
    <t>Адрес</t>
  </si>
  <si>
    <t>Площадь</t>
  </si>
  <si>
    <t>Тариф 100%</t>
  </si>
  <si>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</si>
  <si>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</si>
  <si>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</si>
  <si>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</si>
  <si>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</si>
  <si>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</si>
  <si>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</si>
  <si>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</si>
  <si>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</si>
  <si>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</si>
  <si>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</si>
  <si>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</si>
  <si>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</si>
  <si>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</si>
  <si>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оплачено</t>
  </si>
  <si>
    <t>задолженность (-),
 переплата (+)</t>
  </si>
  <si>
    <t>Начислено</t>
  </si>
  <si>
    <t>начислено</t>
  </si>
  <si>
    <t>Оплачено</t>
  </si>
  <si>
    <t xml:space="preserve">РАСХОДЫ ПО МКД </t>
  </si>
  <si>
    <t>Наименование</t>
  </si>
  <si>
    <t>Месяц</t>
  </si>
  <si>
    <t>ИТОГО</t>
  </si>
  <si>
    <t>Директор ООО "Комфорт"                                                        И.А. Кодряну</t>
  </si>
  <si>
    <t>ул. Юбилейная 11</t>
  </si>
  <si>
    <t>НАЧИСЛЕНИЕ 2016 год</t>
  </si>
  <si>
    <t>Текущий ремонт 2016 год</t>
  </si>
  <si>
    <t>ФИНАНСОВЫЙ РЕЗУЛЬТАТ</t>
  </si>
  <si>
    <t>Объем</t>
  </si>
  <si>
    <t>Содержание жилья</t>
  </si>
  <si>
    <t>ИТОГО РАСХОДОВ</t>
  </si>
  <si>
    <t>Освещение (смена ламп)</t>
  </si>
  <si>
    <t>Ед. изм.</t>
  </si>
  <si>
    <t>январь</t>
  </si>
  <si>
    <t>Замена автомата 5п</t>
  </si>
  <si>
    <t>февраль</t>
  </si>
  <si>
    <t>м.п.</t>
  </si>
  <si>
    <t>ОАО "Евразруда"</t>
  </si>
  <si>
    <t>Капитальный ремонт</t>
  </si>
  <si>
    <t xml:space="preserve">Смена ламп 7п </t>
  </si>
  <si>
    <t>апрель</t>
  </si>
  <si>
    <t>Замена трубы 89</t>
  </si>
  <si>
    <t>Финансовый результат 2015 год</t>
  </si>
  <si>
    <t>Финансовый результат 2016 год</t>
  </si>
  <si>
    <t>шт.</t>
  </si>
  <si>
    <t>Сумма, руб.</t>
  </si>
  <si>
    <t>1. Услуга по управлению (2,38 руб.с кв.м)</t>
  </si>
  <si>
    <t>в т.ч . Услуга по управлению ООО "Комфорт" (1,38 руб.с кв.м)</t>
  </si>
  <si>
    <t>в т.ч. Вознаграждение председателю дома (1,00 руб.с кв.м)</t>
  </si>
  <si>
    <t>в т.ч. 2.1. Содержание внутридомовых инженерных сетей водоснабжения и водоотведения (0.67 руб.с кв.м.)</t>
  </si>
  <si>
    <t>в т.ч. 2.2. Содержание внутридомовых инженерных сетей центрального отопления (0.66 руб.с кв.м.)</t>
  </si>
  <si>
    <t>в т.ч. 2.3. Содержание строительных конструкций (0.8 руб.с кв.м.)</t>
  </si>
  <si>
    <t>в т.ч. 2.4. Содержание внутридомовых инженерных сетей электроснабжения (0.52 руб.с кв.м.)</t>
  </si>
  <si>
    <t>3. Услуги по начислению и сбору платежей (0,64 руб.с кв.м)</t>
  </si>
  <si>
    <t>4. Санитарное содержание мест общего пользования (2,64 руб.с кв.м)</t>
  </si>
  <si>
    <t>Очистка канализационной внутренней сети 3п</t>
  </si>
  <si>
    <t>5. АВР - диспетчерская служба (1,61 руб.с кв.м)</t>
  </si>
  <si>
    <t>Монтаж муфт для промывки ст. отопления</t>
  </si>
  <si>
    <t>июнь</t>
  </si>
  <si>
    <t>6. Паспортный стол (0,20 руб.с кв.м)</t>
  </si>
  <si>
    <t>7. Механизированная уборка придомовой территории (1800 руб/час)</t>
  </si>
  <si>
    <t>8. Очистка кровли</t>
  </si>
  <si>
    <t>9. Материалы, инвентарь</t>
  </si>
  <si>
    <t>10. Текущий ремонт</t>
  </si>
  <si>
    <t>июль</t>
  </si>
  <si>
    <t>Укрепление кровельного листа над кв 13</t>
  </si>
  <si>
    <t>август</t>
  </si>
  <si>
    <t>Замена ламп 2п тамбур, 4п,3п-2эт, 7п-2эт</t>
  </si>
  <si>
    <t>Замена ст хгвс/подвал/подъезд кв 67</t>
  </si>
  <si>
    <t>Замена стояка хгвс подвал/59/61/63/65</t>
  </si>
  <si>
    <t>сентябрь</t>
  </si>
  <si>
    <t>Асфальтирование придомовой территории</t>
  </si>
  <si>
    <t>Интернет провайдеры (ИП Бабенко, КТС, ИП Яковлев)нежилые помещения</t>
  </si>
  <si>
    <t>Освещение подъездов и придомовой территории</t>
  </si>
  <si>
    <t>октябрь</t>
  </si>
  <si>
    <t>Остекление 2п4п</t>
  </si>
  <si>
    <t>Изготовление короба 7п</t>
  </si>
  <si>
    <t>Установка замков</t>
  </si>
  <si>
    <t>ноябрь</t>
  </si>
  <si>
    <t>ФИНАНСОВЫЙ РЕЗУЛЬТАТ 2016 ГОД</t>
  </si>
  <si>
    <t>Выполненные  работы (оказанные услуги) по содержанию общего имущества и текущему ремонту за 2016 год</t>
  </si>
  <si>
    <t>9. Текущий ремонт (наименование работ)</t>
  </si>
  <si>
    <t>Оплачено денежных средств:</t>
  </si>
  <si>
    <t>И Т О Г О:</t>
  </si>
  <si>
    <t>ИТОГО РАСХОДОВ:</t>
  </si>
  <si>
    <t>2. Техническое обслуживание (2,65 руб.с кв.м)</t>
  </si>
  <si>
    <t>ФИНАНСОВЫЙ РЕЗУЛЬТАТ:</t>
  </si>
  <si>
    <t>Переходящие остатки денежных средств на начало периода (Финансовый результат 2015 год):</t>
  </si>
  <si>
    <t>Переходящие остатки денежных средств на конец периода (Финансовый результат 2016 год)</t>
  </si>
  <si>
    <t>Начислено денежных средств:</t>
  </si>
  <si>
    <t>Замена предохранителя ( щитовая)</t>
  </si>
  <si>
    <t>декабрь</t>
  </si>
  <si>
    <t>Прочистка вентиляции кв 47</t>
  </si>
  <si>
    <t>Замена ст отопления кв.60</t>
  </si>
  <si>
    <t>Замена ст. хгвс кв.47/подвал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</si>
</sst>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F_-;\-* #,##0\ _F_-;_-* &quot;-&quot;\ _F_-;_-@_-"/>
    <numFmt numFmtId="165" formatCode="_-* #,##0.00\ _F_-;\-* #,##0.00\ _F_-;_-* &quot;-&quot;??\ _F_-;_-@_-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Helvetica-Narrow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5">
    <xf numFmtId="0" fontId="0" fillId="0" borderId="0"/>
    <xf numFmtId="0" fontId="3" fillId="0" borderId="0">
      <alignment horizontal="center" vertical="center"/>
    </xf>
    <xf numFmtId="0" fontId="5" fillId="0" borderId="0">
      <alignment horizontal="left" vertical="top"/>
    </xf>
    <xf numFmtId="0" fontId="4" fillId="0" borderId="0">
      <alignment horizontal="right" vertical="center"/>
    </xf>
    <xf numFmtId="0" fontId="4" fillId="4" borderId="0">
      <alignment horizontal="right" vertical="center"/>
    </xf>
    <xf numFmtId="0" fontId="5" fillId="0" borderId="0">
      <alignment horizontal="right" vertical="top"/>
    </xf>
    <xf numFmtId="0" fontId="4" fillId="5" borderId="0">
      <alignment horizontal="right" vertical="center"/>
    </xf>
    <xf numFmtId="0" fontId="4" fillId="2" borderId="0">
      <alignment horizontal="right" vertical="center"/>
    </xf>
    <xf numFmtId="0" fontId="4" fillId="2" borderId="0">
      <alignment horizontal="left" vertical="center"/>
    </xf>
    <xf numFmtId="0" fontId="6" fillId="0" borderId="0">
      <alignment horizontal="right" vertical="center"/>
    </xf>
    <xf numFmtId="0" fontId="4" fillId="3" borderId="0">
      <alignment horizontal="center" vertical="center"/>
    </xf>
    <xf numFmtId="0" fontId="4" fillId="6" borderId="0">
      <alignment horizontal="right" vertical="center"/>
    </xf>
    <xf numFmtId="0" fontId="4" fillId="5" borderId="0">
      <alignment horizontal="left" vertical="center"/>
    </xf>
    <xf numFmtId="0" fontId="4" fillId="0" borderId="0">
      <alignment horizontal="center" vertical="center"/>
    </xf>
    <xf numFmtId="0" fontId="4" fillId="0" borderId="0">
      <alignment horizontal="left" vertical="center"/>
    </xf>
    <xf numFmtId="0" fontId="4" fillId="4" borderId="0">
      <alignment horizontal="left" vertical="center"/>
    </xf>
    <xf numFmtId="0" fontId="4" fillId="0" borderId="0">
      <alignment horizontal="center" vertical="center"/>
    </xf>
    <xf numFmtId="0" fontId="4" fillId="0" borderId="0">
      <alignment horizontal="center" vertical="center"/>
    </xf>
    <xf numFmtId="0" fontId="4" fillId="3" borderId="0">
      <alignment horizontal="center" vertical="center"/>
    </xf>
    <xf numFmtId="0" fontId="4" fillId="6" borderId="0">
      <alignment horizontal="right" vertical="center"/>
    </xf>
    <xf numFmtId="0" fontId="4" fillId="6" borderId="0">
      <alignment horizontal="right" vertical="center"/>
    </xf>
    <xf numFmtId="0" fontId="4" fillId="6" borderId="0">
      <alignment horizontal="right" vertical="center"/>
    </xf>
    <xf numFmtId="0" fontId="2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96">
    <xf numFmtId="0" fontId="0" fillId="0" borderId="0" xfId="0"/>
    <xf numFmtId="4" fontId="8" fillId="7" borderId="1" xfId="22" applyNumberFormat="1" applyFont="1" applyFill="1" applyBorder="1" applyAlignment="1" applyProtection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9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4" fontId="8" fillId="7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3" fillId="7" borderId="1" xfId="0" applyNumberFormat="1" applyFont="1" applyFill="1" applyBorder="1" applyAlignment="1" applyProtection="1">
      <alignment horizontal="center" vertical="center" wrapText="1"/>
    </xf>
    <xf numFmtId="4" fontId="9" fillId="7" borderId="1" xfId="0" applyNumberFormat="1" applyFont="1" applyFill="1" applyBorder="1" applyAlignment="1" applyProtection="1">
      <alignment horizontal="center" vertical="center" wrapText="1"/>
    </xf>
    <xf numFmtId="4" fontId="9" fillId="7" borderId="1" xfId="22" applyNumberFormat="1" applyFont="1" applyFill="1" applyBorder="1" applyAlignment="1" applyProtection="1">
      <alignment horizontal="center" vertical="center" wrapText="1"/>
    </xf>
    <xf numFmtId="4" fontId="8" fillId="8" borderId="1" xfId="0" applyNumberFormat="1" applyFont="1" applyFill="1" applyBorder="1" applyAlignment="1" applyProtection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8" fillId="10" borderId="1" xfId="0" applyNumberFormat="1" applyFont="1" applyFill="1" applyBorder="1" applyAlignment="1" applyProtection="1">
      <alignment horizontal="center" vertical="center" wrapText="1"/>
    </xf>
    <xf numFmtId="4" fontId="14" fillId="7" borderId="1" xfId="0" applyNumberFormat="1" applyFont="1" applyFill="1" applyBorder="1" applyAlignment="1" applyProtection="1">
      <alignment horizontal="center" vertical="center" wrapText="1"/>
    </xf>
    <xf numFmtId="4" fontId="15" fillId="0" borderId="0" xfId="0" applyNumberFormat="1" applyFont="1" applyAlignment="1">
      <alignment horizontal="center" vertical="center" wrapText="1"/>
    </xf>
    <xf numFmtId="4" fontId="10" fillId="8" borderId="0" xfId="0" applyNumberFormat="1" applyFont="1" applyFill="1" applyAlignment="1">
      <alignment horizontal="center" vertical="center" wrapText="1"/>
    </xf>
    <xf numFmtId="4" fontId="10" fillId="10" borderId="0" xfId="0" applyNumberFormat="1" applyFont="1" applyFill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8" fillId="7" borderId="1" xfId="0" applyNumberFormat="1" applyFont="1" applyFill="1" applyBorder="1" applyAlignment="1" applyProtection="1">
      <alignment horizontal="center" vertical="center" wrapText="1"/>
    </xf>
    <xf numFmtId="4" fontId="8" fillId="7" borderId="1" xfId="0" applyNumberFormat="1" applyFont="1" applyFill="1" applyBorder="1" applyAlignment="1" applyProtection="1">
      <alignment horizontal="center" vertical="center" wrapText="1"/>
    </xf>
    <xf numFmtId="4" fontId="8" fillId="9" borderId="1" xfId="22" applyNumberFormat="1" applyFont="1" applyFill="1" applyBorder="1" applyAlignment="1" applyProtection="1">
      <alignment horizontal="center" vertical="center" wrapText="1"/>
    </xf>
    <xf numFmtId="4" fontId="9" fillId="9" borderId="1" xfId="0" applyNumberFormat="1" applyFont="1" applyFill="1" applyBorder="1" applyAlignment="1" applyProtection="1">
      <alignment horizontal="center" vertical="center" wrapText="1"/>
    </xf>
    <xf numFmtId="4" fontId="1" fillId="9" borderId="0" xfId="0" applyNumberFormat="1" applyFont="1" applyFill="1" applyAlignment="1">
      <alignment horizontal="center" vertical="center" wrapText="1"/>
    </xf>
    <xf numFmtId="4" fontId="8" fillId="7" borderId="1" xfId="0" applyNumberFormat="1" applyFont="1" applyFill="1" applyBorder="1" applyAlignment="1" applyProtection="1">
      <alignment horizontal="center" vertical="center" wrapText="1"/>
    </xf>
    <xf numFmtId="4" fontId="8" fillId="7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8" fillId="11" borderId="1" xfId="22" applyNumberFormat="1" applyFont="1" applyFill="1" applyBorder="1" applyAlignment="1" applyProtection="1">
      <alignment horizontal="center" vertical="center" wrapText="1"/>
    </xf>
    <xf numFmtId="4" fontId="8" fillId="11" borderId="1" xfId="0" applyNumberFormat="1" applyFont="1" applyFill="1" applyBorder="1" applyAlignment="1" applyProtection="1">
      <alignment horizontal="center" vertical="center" wrapText="1"/>
    </xf>
    <xf numFmtId="4" fontId="1" fillId="11" borderId="0" xfId="0" applyNumberFormat="1" applyFont="1" applyFill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8" fillId="7" borderId="1" xfId="0" applyNumberFormat="1" applyFont="1" applyFill="1" applyBorder="1" applyAlignment="1" applyProtection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4" fontId="8" fillId="7" borderId="1" xfId="0" applyNumberFormat="1" applyFont="1" applyFill="1" applyBorder="1" applyAlignment="1" applyProtection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4" fontId="11" fillId="9" borderId="1" xfId="0" applyNumberFormat="1" applyFont="1" applyFill="1" applyBorder="1" applyAlignment="1">
      <alignment horizontal="center" vertical="center" wrapText="1"/>
    </xf>
    <xf numFmtId="4" fontId="8" fillId="7" borderId="1" xfId="0" applyNumberFormat="1" applyFont="1" applyFill="1" applyBorder="1" applyAlignment="1" applyProtection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8" fillId="7" borderId="1" xfId="0" applyNumberFormat="1" applyFont="1" applyFill="1" applyBorder="1" applyAlignment="1" applyProtection="1">
      <alignment horizontal="center" vertical="center" wrapText="1"/>
    </xf>
    <xf numFmtId="4" fontId="8" fillId="9" borderId="1" xfId="0" applyNumberFormat="1" applyFont="1" applyFill="1" applyBorder="1" applyAlignment="1" applyProtection="1">
      <alignment horizontal="center" vertical="center" wrapText="1"/>
    </xf>
    <xf numFmtId="3" fontId="11" fillId="9" borderId="1" xfId="0" applyNumberFormat="1" applyFont="1" applyFill="1" applyBorder="1" applyAlignment="1">
      <alignment horizontal="center" vertical="center" wrapText="1"/>
    </xf>
    <xf numFmtId="4" fontId="8" fillId="7" borderId="1" xfId="0" applyNumberFormat="1" applyFont="1" applyFill="1" applyBorder="1" applyAlignment="1" applyProtection="1">
      <alignment horizontal="center" vertical="center" wrapText="1"/>
    </xf>
    <xf numFmtId="4" fontId="8" fillId="7" borderId="1" xfId="0" applyNumberFormat="1" applyFont="1" applyFill="1" applyBorder="1" applyAlignment="1" applyProtection="1">
      <alignment horizontal="center" vertical="center" wrapText="1"/>
    </xf>
    <xf numFmtId="4" fontId="8" fillId="7" borderId="1" xfId="0" applyNumberFormat="1" applyFont="1" applyFill="1" applyBorder="1" applyAlignment="1" applyProtection="1">
      <alignment horizontal="center" vertical="center" wrapText="1"/>
    </xf>
    <xf numFmtId="4" fontId="8" fillId="7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vertical="top"/>
    </xf>
    <xf numFmtId="4" fontId="12" fillId="0" borderId="5" xfId="0" applyNumberFormat="1" applyFont="1" applyBorder="1" applyAlignment="1">
      <alignment horizontal="left" vertical="center" wrapText="1"/>
    </xf>
    <xf numFmtId="4" fontId="12" fillId="0" borderId="0" xfId="0" applyNumberFormat="1" applyFont="1" applyAlignment="1">
      <alignment horizontal="center" vertical="center" wrapText="1"/>
    </xf>
    <xf numFmtId="4" fontId="11" fillId="9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left" vertical="center" wrapText="1"/>
    </xf>
    <xf numFmtId="4" fontId="8" fillId="7" borderId="1" xfId="0" applyNumberFormat="1" applyFont="1" applyFill="1" applyBorder="1" applyAlignment="1" applyProtection="1">
      <alignment horizontal="center" vertical="center" wrapText="1"/>
    </xf>
    <xf numFmtId="4" fontId="8" fillId="7" borderId="1" xfId="0" applyNumberFormat="1" applyFont="1" applyFill="1" applyBorder="1" applyAlignment="1" applyProtection="1">
      <alignment horizontal="center" vertical="center" wrapText="1"/>
    </xf>
    <xf numFmtId="4" fontId="12" fillId="0" borderId="5" xfId="0" applyNumberFormat="1" applyFont="1" applyBorder="1" applyAlignment="1">
      <alignment horizontal="left" vertical="center" wrapText="1"/>
    </xf>
    <xf numFmtId="4" fontId="12" fillId="0" borderId="0" xfId="0" applyNumberFormat="1" applyFont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left" vertical="center" wrapText="1"/>
    </xf>
    <xf numFmtId="4" fontId="12" fillId="0" borderId="6" xfId="0" applyNumberFormat="1" applyFont="1" applyBorder="1" applyAlignment="1">
      <alignment horizontal="left" vertical="center" wrapText="1"/>
    </xf>
    <xf numFmtId="4" fontId="12" fillId="0" borderId="0" xfId="0" applyNumberFormat="1" applyFont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14" fillId="7" borderId="5" xfId="22" applyNumberFormat="1" applyFont="1" applyFill="1" applyBorder="1" applyAlignment="1" applyProtection="1">
      <alignment horizontal="left" vertical="center" wrapText="1"/>
    </xf>
    <xf numFmtId="4" fontId="14" fillId="7" borderId="6" xfId="22" applyNumberFormat="1" applyFont="1" applyFill="1" applyBorder="1" applyAlignment="1" applyProtection="1">
      <alignment horizontal="left" vertical="center" wrapText="1"/>
    </xf>
    <xf numFmtId="4" fontId="8" fillId="7" borderId="5" xfId="22" applyNumberFormat="1" applyFont="1" applyFill="1" applyBorder="1" applyAlignment="1" applyProtection="1">
      <alignment horizontal="left" vertical="center" wrapText="1"/>
    </xf>
    <xf numFmtId="4" fontId="8" fillId="7" borderId="6" xfId="22" applyNumberFormat="1" applyFont="1" applyFill="1" applyBorder="1" applyAlignment="1" applyProtection="1">
      <alignment horizontal="left" vertical="center" wrapText="1"/>
    </xf>
    <xf numFmtId="4" fontId="8" fillId="8" borderId="5" xfId="22" applyNumberFormat="1" applyFont="1" applyFill="1" applyBorder="1" applyAlignment="1" applyProtection="1">
      <alignment horizontal="center" vertical="center" wrapText="1"/>
    </xf>
    <xf numFmtId="4" fontId="8" fillId="8" borderId="6" xfId="22" applyNumberFormat="1" applyFont="1" applyFill="1" applyBorder="1" applyAlignment="1" applyProtection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8" fillId="10" borderId="5" xfId="22" applyNumberFormat="1" applyFont="1" applyFill="1" applyBorder="1" applyAlignment="1" applyProtection="1">
      <alignment horizontal="center" vertical="center" wrapText="1"/>
    </xf>
    <xf numFmtId="4" fontId="8" fillId="10" borderId="6" xfId="22" applyNumberFormat="1" applyFont="1" applyFill="1" applyBorder="1" applyAlignment="1" applyProtection="1">
      <alignment horizontal="center" vertical="center" wrapText="1"/>
    </xf>
    <xf numFmtId="4" fontId="12" fillId="0" borderId="1" xfId="0" applyNumberFormat="1" applyFont="1" applyBorder="1" applyAlignment="1">
      <alignment horizontal="left" vertical="center" wrapText="1"/>
    </xf>
    <xf numFmtId="4" fontId="8" fillId="7" borderId="1" xfId="0" applyNumberFormat="1" applyFont="1" applyFill="1" applyBorder="1" applyAlignment="1" applyProtection="1">
      <alignment horizontal="center" vertical="center" wrapText="1"/>
    </xf>
    <xf numFmtId="4" fontId="8" fillId="7" borderId="1" xfId="22" applyNumberFormat="1" applyFont="1" applyFill="1" applyBorder="1" applyAlignment="1" applyProtection="1">
      <alignment horizontal="center" vertical="center" wrapText="1"/>
    </xf>
    <xf numFmtId="4" fontId="8" fillId="7" borderId="2" xfId="22" applyNumberFormat="1" applyFont="1" applyFill="1" applyBorder="1" applyAlignment="1" applyProtection="1">
      <alignment horizontal="center" vertical="center" wrapText="1"/>
    </xf>
    <xf numFmtId="4" fontId="8" fillId="7" borderId="3" xfId="22" applyNumberFormat="1" applyFont="1" applyFill="1" applyBorder="1" applyAlignment="1" applyProtection="1">
      <alignment horizontal="center" vertical="center" wrapText="1"/>
    </xf>
    <xf numFmtId="4" fontId="8" fillId="7" borderId="4" xfId="22" applyNumberFormat="1" applyFont="1" applyFill="1" applyBorder="1" applyAlignment="1" applyProtection="1">
      <alignment horizontal="center" vertical="center" wrapText="1"/>
    </xf>
    <xf numFmtId="4" fontId="8" fillId="7" borderId="1" xfId="22" applyNumberFormat="1" applyFont="1" applyFill="1" applyBorder="1" applyAlignment="1" applyProtection="1">
      <alignment horizontal="left" vertical="center" wrapText="1"/>
    </xf>
    <xf numFmtId="4" fontId="8" fillId="7" borderId="5" xfId="22" applyNumberFormat="1" applyFont="1" applyFill="1" applyBorder="1" applyAlignment="1" applyProtection="1">
      <alignment horizontal="center" vertical="center" wrapText="1"/>
    </xf>
    <xf numFmtId="4" fontId="8" fillId="7" borderId="7" xfId="22" applyNumberFormat="1" applyFont="1" applyFill="1" applyBorder="1" applyAlignment="1" applyProtection="1">
      <alignment horizontal="center" vertical="center" wrapText="1"/>
    </xf>
    <xf numFmtId="4" fontId="8" fillId="7" borderId="6" xfId="22" applyNumberFormat="1" applyFont="1" applyFill="1" applyBorder="1" applyAlignment="1" applyProtection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4" fontId="11" fillId="0" borderId="0" xfId="0" applyNumberFormat="1" applyFont="1" applyBorder="1" applyAlignment="1">
      <alignment horizontal="left" vertical="center" wrapText="1"/>
    </xf>
    <xf numFmtId="4" fontId="11" fillId="9" borderId="1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4" fontId="12" fillId="9" borderId="1" xfId="0" applyNumberFormat="1" applyFont="1" applyFill="1" applyBorder="1" applyAlignment="1">
      <alignment vertical="center" wrapText="1"/>
    </xf>
    <xf numFmtId="4" fontId="12" fillId="0" borderId="7" xfId="0" applyNumberFormat="1" applyFont="1" applyBorder="1" applyAlignment="1">
      <alignment horizontal="left"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center" wrapText="1"/>
    </xf>
  </cellXfs>
  <cellStyles count="25">
    <cellStyle name="S0" xfId="1"/>
    <cellStyle name="S1" xfId="2"/>
    <cellStyle name="S11" xfId="3"/>
    <cellStyle name="S12" xfId="4"/>
    <cellStyle name="S13" xfId="5"/>
    <cellStyle name="S14" xfId="6"/>
    <cellStyle name="S15" xfId="7"/>
    <cellStyle name="S16" xfId="8"/>
    <cellStyle name="S17" xfId="9"/>
    <cellStyle name="S18" xfId="10"/>
    <cellStyle name="S19" xfId="11"/>
    <cellStyle name="S2" xfId="12"/>
    <cellStyle name="S20" xfId="13"/>
    <cellStyle name="S21" xfId="14"/>
    <cellStyle name="S3" xfId="15"/>
    <cellStyle name="S4" xfId="16"/>
    <cellStyle name="S5" xfId="17"/>
    <cellStyle name="S6" xfId="18"/>
    <cellStyle name="S7" xfId="19"/>
    <cellStyle name="S8" xfId="20"/>
    <cellStyle name="S9" xfId="21"/>
    <cellStyle name="Обычный" xfId="0" builtinId="0"/>
    <cellStyle name="Обычный 2" xfId="22"/>
    <cellStyle name="Тысячи [0]_Example " xfId="23"/>
    <cellStyle name="Тысячи_Example 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view="pageBreakPreview" zoomScale="90" zoomScaleNormal="100" zoomScaleSheetLayoutView="90" workbookViewId="0">
      <pane ySplit="1" topLeftCell="A38" activePane="bottomLeft" state="frozen"/>
      <selection pane="bottomLeft" activeCell="J34" sqref="J34"/>
    </sheetView>
  </sheetViews>
  <sheetFormatPr defaultColWidth="9.140625" defaultRowHeight="15.75"/>
  <cols>
    <col min="1" max="1" width="18" style="7" customWidth="1"/>
    <col min="2" max="2" width="23.28515625" style="7" customWidth="1"/>
    <col min="3" max="3" width="11.28515625" style="7" bestFit="1" customWidth="1"/>
    <col min="4" max="4" width="10.85546875" style="12" bestFit="1" customWidth="1"/>
    <col min="5" max="6" width="11.140625" style="12" customWidth="1"/>
    <col min="7" max="7" width="11.85546875" style="7" customWidth="1"/>
    <col min="8" max="8" width="10.7109375" style="7" customWidth="1"/>
    <col min="9" max="9" width="10.85546875" style="7" customWidth="1"/>
    <col min="10" max="10" width="12" style="7" customWidth="1"/>
    <col min="11" max="11" width="13.140625" style="7" bestFit="1" customWidth="1"/>
    <col min="12" max="12" width="11.140625" style="7" bestFit="1" customWidth="1"/>
    <col min="13" max="13" width="11.140625" style="7" customWidth="1"/>
    <col min="14" max="14" width="12" style="7" bestFit="1" customWidth="1"/>
    <col min="15" max="15" width="12.140625" style="7" bestFit="1" customWidth="1"/>
    <col min="16" max="16" width="12.42578125" style="7" customWidth="1"/>
    <col min="17" max="16384" width="9.140625" style="7"/>
  </cols>
  <sheetData>
    <row r="1" spans="1:15">
      <c r="A1" s="76" t="s">
        <v>28</v>
      </c>
      <c r="B1" s="76"/>
      <c r="C1" s="6" t="s">
        <v>4</v>
      </c>
      <c r="D1" s="41" t="s">
        <v>5</v>
      </c>
      <c r="E1" s="41" t="s">
        <v>6</v>
      </c>
      <c r="F1" s="41" t="s">
        <v>7</v>
      </c>
      <c r="G1" s="6" t="s">
        <v>8</v>
      </c>
      <c r="H1" s="6" t="s">
        <v>9</v>
      </c>
      <c r="I1" s="6" t="s">
        <v>10</v>
      </c>
      <c r="J1" s="6" t="s">
        <v>11</v>
      </c>
      <c r="K1" s="6" t="s">
        <v>12</v>
      </c>
      <c r="L1" s="6" t="s">
        <v>13</v>
      </c>
      <c r="M1" s="6" t="s">
        <v>14</v>
      </c>
      <c r="N1" s="6" t="s">
        <v>15</v>
      </c>
      <c r="O1" s="75" t="s">
        <v>16</v>
      </c>
    </row>
    <row r="2" spans="1:15">
      <c r="A2" s="76" t="s">
        <v>0</v>
      </c>
      <c r="B2" s="76"/>
      <c r="C2" s="75" t="s">
        <v>27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>
      <c r="A3" s="76" t="s">
        <v>1</v>
      </c>
      <c r="B3" s="76"/>
      <c r="C3" s="8">
        <v>4220.3</v>
      </c>
      <c r="D3" s="8">
        <v>4220.3</v>
      </c>
      <c r="E3" s="8">
        <v>4220.3</v>
      </c>
      <c r="F3" s="8">
        <v>4220.3</v>
      </c>
      <c r="G3" s="8">
        <v>4220.3</v>
      </c>
      <c r="H3" s="8">
        <v>4220.3</v>
      </c>
      <c r="I3" s="8">
        <v>4220.3</v>
      </c>
      <c r="J3" s="8">
        <v>4220.3</v>
      </c>
      <c r="K3" s="8">
        <v>4220.3</v>
      </c>
      <c r="L3" s="8">
        <v>4220.3</v>
      </c>
      <c r="M3" s="8">
        <v>4220.3</v>
      </c>
      <c r="N3" s="8">
        <v>4220.3</v>
      </c>
      <c r="O3" s="9"/>
    </row>
    <row r="4" spans="1:15">
      <c r="A4" s="76" t="s">
        <v>2</v>
      </c>
      <c r="B4" s="76"/>
      <c r="C4" s="8">
        <v>12.6</v>
      </c>
      <c r="D4" s="8">
        <v>12.6</v>
      </c>
      <c r="E4" s="8">
        <v>12.6</v>
      </c>
      <c r="F4" s="8">
        <v>16.600000000000001</v>
      </c>
      <c r="G4" s="8">
        <v>16.600000000000001</v>
      </c>
      <c r="H4" s="8">
        <v>16.600000000000001</v>
      </c>
      <c r="I4" s="8">
        <v>16.600000000000001</v>
      </c>
      <c r="J4" s="8">
        <v>16.600000000000001</v>
      </c>
      <c r="K4" s="8">
        <v>16.600000000000001</v>
      </c>
      <c r="L4" s="8">
        <v>16.600000000000001</v>
      </c>
      <c r="M4" s="8">
        <v>16.600000000000001</v>
      </c>
      <c r="N4" s="8">
        <v>16.600000000000001</v>
      </c>
      <c r="O4" s="9"/>
    </row>
    <row r="5" spans="1:15" ht="15.75" customHeight="1">
      <c r="A5" s="77" t="s">
        <v>32</v>
      </c>
      <c r="B5" s="10" t="s">
        <v>20</v>
      </c>
      <c r="C5" s="9">
        <v>53085.82</v>
      </c>
      <c r="D5" s="41">
        <v>53085.82</v>
      </c>
      <c r="E5" s="41">
        <v>53085.82</v>
      </c>
      <c r="F5" s="41">
        <v>53085.82</v>
      </c>
      <c r="G5" s="9">
        <v>85609.279999999999</v>
      </c>
      <c r="H5" s="9">
        <v>79545.820000000007</v>
      </c>
      <c r="I5" s="9">
        <v>79545.820000000007</v>
      </c>
      <c r="J5" s="9">
        <v>79545.820000000007</v>
      </c>
      <c r="K5" s="9">
        <v>81650.490000000005</v>
      </c>
      <c r="L5" s="9">
        <v>81650.490000000005</v>
      </c>
      <c r="M5" s="9">
        <v>81650.490000000005</v>
      </c>
      <c r="N5" s="9">
        <v>81650.490000000005</v>
      </c>
      <c r="O5" s="9">
        <f>SUM(C5:N5)</f>
        <v>863191.98</v>
      </c>
    </row>
    <row r="6" spans="1:15">
      <c r="A6" s="78"/>
      <c r="B6" s="10" t="s">
        <v>17</v>
      </c>
      <c r="C6" s="9">
        <v>35951.81</v>
      </c>
      <c r="D6" s="41">
        <v>66169.47</v>
      </c>
      <c r="E6" s="41">
        <v>55112.93</v>
      </c>
      <c r="F6" s="41">
        <v>41573.18</v>
      </c>
      <c r="G6" s="9">
        <v>59312.73</v>
      </c>
      <c r="H6" s="9">
        <v>53993.38</v>
      </c>
      <c r="I6" s="9">
        <v>78962</v>
      </c>
      <c r="J6" s="9">
        <v>166984.32999999999</v>
      </c>
      <c r="K6" s="9">
        <v>71298.92</v>
      </c>
      <c r="L6" s="9">
        <v>67204.929999999993</v>
      </c>
      <c r="M6" s="9">
        <v>89154.01</v>
      </c>
      <c r="N6" s="9">
        <v>122915.41</v>
      </c>
      <c r="O6" s="9">
        <f t="shared" ref="O6:O34" si="0">SUM(C6:N6)</f>
        <v>908633.1</v>
      </c>
    </row>
    <row r="7" spans="1:15" s="32" customFormat="1" ht="31.5">
      <c r="A7" s="79"/>
      <c r="B7" s="30" t="s">
        <v>18</v>
      </c>
      <c r="C7" s="31">
        <f>C6-C5</f>
        <v>-17134.010000000002</v>
      </c>
      <c r="D7" s="31">
        <f t="shared" ref="D7:N7" si="1">D6-D5</f>
        <v>13083.650000000001</v>
      </c>
      <c r="E7" s="31">
        <f t="shared" si="1"/>
        <v>2027.1100000000006</v>
      </c>
      <c r="F7" s="31">
        <f t="shared" si="1"/>
        <v>-11512.64</v>
      </c>
      <c r="G7" s="31">
        <f t="shared" si="1"/>
        <v>-26296.549999999996</v>
      </c>
      <c r="H7" s="31">
        <f t="shared" si="1"/>
        <v>-25552.44000000001</v>
      </c>
      <c r="I7" s="31">
        <f t="shared" si="1"/>
        <v>-583.82000000000698</v>
      </c>
      <c r="J7" s="31">
        <f t="shared" si="1"/>
        <v>87438.50999999998</v>
      </c>
      <c r="K7" s="31">
        <f t="shared" si="1"/>
        <v>-10351.570000000007</v>
      </c>
      <c r="L7" s="31">
        <f t="shared" si="1"/>
        <v>-14445.560000000012</v>
      </c>
      <c r="M7" s="31">
        <f t="shared" si="1"/>
        <v>7503.5199999999895</v>
      </c>
      <c r="N7" s="31">
        <f t="shared" si="1"/>
        <v>41264.92</v>
      </c>
      <c r="O7" s="31">
        <f t="shared" si="0"/>
        <v>45441.119999999937</v>
      </c>
    </row>
    <row r="8" spans="1:15">
      <c r="A8" s="77" t="s">
        <v>75</v>
      </c>
      <c r="B8" s="10" t="s">
        <v>20</v>
      </c>
      <c r="C8" s="9">
        <v>337.5</v>
      </c>
      <c r="D8" s="41">
        <v>337.5</v>
      </c>
      <c r="E8" s="41">
        <v>337.5</v>
      </c>
      <c r="F8" s="41">
        <v>337.5</v>
      </c>
      <c r="G8" s="9">
        <v>337.5</v>
      </c>
      <c r="H8" s="9">
        <v>337.5</v>
      </c>
      <c r="I8" s="9">
        <v>337.5</v>
      </c>
      <c r="J8" s="9">
        <v>337.5</v>
      </c>
      <c r="K8" s="9">
        <v>337.5</v>
      </c>
      <c r="L8" s="9">
        <v>337.5</v>
      </c>
      <c r="M8" s="9">
        <v>337.5</v>
      </c>
      <c r="N8" s="9">
        <v>337.5</v>
      </c>
      <c r="O8" s="9">
        <f t="shared" si="0"/>
        <v>4050</v>
      </c>
    </row>
    <row r="9" spans="1:15">
      <c r="A9" s="78"/>
      <c r="B9" s="10" t="s">
        <v>17</v>
      </c>
      <c r="C9" s="9">
        <v>337.5</v>
      </c>
      <c r="D9" s="41">
        <v>337.5</v>
      </c>
      <c r="E9" s="41">
        <v>337.5</v>
      </c>
      <c r="F9" s="41">
        <v>337.5</v>
      </c>
      <c r="G9" s="9">
        <v>337.5</v>
      </c>
      <c r="H9" s="9">
        <v>337.5</v>
      </c>
      <c r="I9" s="9">
        <v>337.5</v>
      </c>
      <c r="J9" s="9">
        <v>337.5</v>
      </c>
      <c r="K9" s="9">
        <f>1200+337.5</f>
        <v>1537.5</v>
      </c>
      <c r="L9" s="9">
        <v>337.5</v>
      </c>
      <c r="M9" s="9">
        <v>337.5</v>
      </c>
      <c r="N9" s="9">
        <v>337.5</v>
      </c>
      <c r="O9" s="9">
        <f t="shared" si="0"/>
        <v>5250</v>
      </c>
    </row>
    <row r="10" spans="1:15" s="32" customFormat="1" ht="69.75" customHeight="1">
      <c r="A10" s="79"/>
      <c r="B10" s="30" t="s">
        <v>18</v>
      </c>
      <c r="C10" s="31">
        <f>C9-C8</f>
        <v>0</v>
      </c>
      <c r="D10" s="31">
        <f t="shared" ref="D10:N10" si="2">D9-D8</f>
        <v>0</v>
      </c>
      <c r="E10" s="31">
        <f t="shared" si="2"/>
        <v>0</v>
      </c>
      <c r="F10" s="31">
        <f t="shared" si="2"/>
        <v>0</v>
      </c>
      <c r="G10" s="31">
        <f t="shared" si="2"/>
        <v>0</v>
      </c>
      <c r="H10" s="31">
        <f t="shared" si="2"/>
        <v>0</v>
      </c>
      <c r="I10" s="31">
        <f t="shared" si="2"/>
        <v>0</v>
      </c>
      <c r="J10" s="31">
        <f t="shared" si="2"/>
        <v>0</v>
      </c>
      <c r="K10" s="31">
        <f t="shared" si="2"/>
        <v>1200</v>
      </c>
      <c r="L10" s="31">
        <f t="shared" si="2"/>
        <v>0</v>
      </c>
      <c r="M10" s="31">
        <f t="shared" si="2"/>
        <v>0</v>
      </c>
      <c r="N10" s="31">
        <f t="shared" si="2"/>
        <v>0</v>
      </c>
      <c r="O10" s="31">
        <f t="shared" si="0"/>
        <v>1200</v>
      </c>
    </row>
    <row r="11" spans="1:15" s="24" customFormat="1">
      <c r="A11" s="77" t="s">
        <v>40</v>
      </c>
      <c r="B11" s="22" t="s">
        <v>20</v>
      </c>
      <c r="C11" s="23">
        <v>1318.04</v>
      </c>
      <c r="D11" s="44">
        <v>1318.04</v>
      </c>
      <c r="E11" s="44">
        <v>1318.04</v>
      </c>
      <c r="F11" s="44">
        <v>1318.04</v>
      </c>
      <c r="G11" s="23">
        <v>1318.04</v>
      </c>
      <c r="H11" s="23">
        <v>1318.04</v>
      </c>
      <c r="I11" s="23">
        <v>1318.04</v>
      </c>
      <c r="J11" s="23">
        <v>1318.04</v>
      </c>
      <c r="K11" s="23">
        <v>1318.04</v>
      </c>
      <c r="L11" s="23">
        <v>1318.04</v>
      </c>
      <c r="M11" s="23">
        <v>1318.04</v>
      </c>
      <c r="N11" s="23">
        <v>1318.04</v>
      </c>
      <c r="O11" s="23">
        <f t="shared" si="0"/>
        <v>15816.480000000003</v>
      </c>
    </row>
    <row r="12" spans="1:15" s="24" customFormat="1">
      <c r="A12" s="78"/>
      <c r="B12" s="22" t="s">
        <v>17</v>
      </c>
      <c r="C12" s="23"/>
      <c r="D12" s="44"/>
      <c r="E12" s="44"/>
      <c r="F12" s="44"/>
      <c r="G12" s="23">
        <v>100.44</v>
      </c>
      <c r="H12" s="23"/>
      <c r="I12" s="23"/>
      <c r="J12" s="23"/>
      <c r="K12" s="23">
        <v>3000</v>
      </c>
      <c r="L12" s="23">
        <v>1800</v>
      </c>
      <c r="M12" s="23">
        <v>1424</v>
      </c>
      <c r="N12" s="23">
        <v>1318</v>
      </c>
      <c r="O12" s="23">
        <f t="shared" si="0"/>
        <v>7642.4400000000005</v>
      </c>
    </row>
    <row r="13" spans="1:15" s="32" customFormat="1" ht="31.5">
      <c r="A13" s="79"/>
      <c r="B13" s="30" t="s">
        <v>18</v>
      </c>
      <c r="C13" s="31">
        <f>C12-C11</f>
        <v>-1318.04</v>
      </c>
      <c r="D13" s="31">
        <f t="shared" ref="D13:N13" si="3">D12-D11</f>
        <v>-1318.04</v>
      </c>
      <c r="E13" s="31">
        <f t="shared" si="3"/>
        <v>-1318.04</v>
      </c>
      <c r="F13" s="31">
        <f t="shared" si="3"/>
        <v>-1318.04</v>
      </c>
      <c r="G13" s="31">
        <f t="shared" si="3"/>
        <v>-1217.5999999999999</v>
      </c>
      <c r="H13" s="31">
        <f t="shared" si="3"/>
        <v>-1318.04</v>
      </c>
      <c r="I13" s="31">
        <f t="shared" si="3"/>
        <v>-1318.04</v>
      </c>
      <c r="J13" s="31">
        <f t="shared" si="3"/>
        <v>-1318.04</v>
      </c>
      <c r="K13" s="31">
        <f t="shared" si="3"/>
        <v>1681.96</v>
      </c>
      <c r="L13" s="31">
        <f t="shared" si="3"/>
        <v>481.96000000000004</v>
      </c>
      <c r="M13" s="31">
        <f t="shared" si="3"/>
        <v>105.96000000000004</v>
      </c>
      <c r="N13" s="31">
        <f t="shared" si="3"/>
        <v>-3.999999999996362E-2</v>
      </c>
      <c r="O13" s="31">
        <f t="shared" si="0"/>
        <v>-8174.0400000000027</v>
      </c>
    </row>
    <row r="14" spans="1:15">
      <c r="A14" s="77" t="s">
        <v>3</v>
      </c>
      <c r="B14" s="1" t="s">
        <v>19</v>
      </c>
      <c r="C14" s="6">
        <f>C5+C8+C11</f>
        <v>54741.36</v>
      </c>
      <c r="D14" s="41">
        <f t="shared" ref="D14:N14" si="4">D5+D8+D11</f>
        <v>54741.36</v>
      </c>
      <c r="E14" s="41">
        <f t="shared" si="4"/>
        <v>54741.36</v>
      </c>
      <c r="F14" s="41">
        <f t="shared" si="4"/>
        <v>54741.36</v>
      </c>
      <c r="G14" s="21">
        <f t="shared" si="4"/>
        <v>87264.819999999992</v>
      </c>
      <c r="H14" s="21">
        <f t="shared" si="4"/>
        <v>81201.36</v>
      </c>
      <c r="I14" s="21">
        <f t="shared" si="4"/>
        <v>81201.36</v>
      </c>
      <c r="J14" s="21">
        <f t="shared" si="4"/>
        <v>81201.36</v>
      </c>
      <c r="K14" s="21">
        <f t="shared" si="4"/>
        <v>83306.03</v>
      </c>
      <c r="L14" s="21">
        <f t="shared" si="4"/>
        <v>83306.03</v>
      </c>
      <c r="M14" s="21">
        <f t="shared" si="4"/>
        <v>83306.03</v>
      </c>
      <c r="N14" s="21">
        <f t="shared" si="4"/>
        <v>83306.03</v>
      </c>
      <c r="O14" s="9">
        <f t="shared" si="0"/>
        <v>883058.46000000008</v>
      </c>
    </row>
    <row r="15" spans="1:15">
      <c r="A15" s="78"/>
      <c r="B15" s="1" t="s">
        <v>21</v>
      </c>
      <c r="C15" s="6">
        <f>C6+C9+C12</f>
        <v>36289.31</v>
      </c>
      <c r="D15" s="41">
        <f t="shared" ref="D15:N15" si="5">D6+D9+D12</f>
        <v>66506.97</v>
      </c>
      <c r="E15" s="41">
        <f t="shared" si="5"/>
        <v>55450.43</v>
      </c>
      <c r="F15" s="41">
        <f t="shared" si="5"/>
        <v>41910.68</v>
      </c>
      <c r="G15" s="21">
        <f t="shared" si="5"/>
        <v>59750.670000000006</v>
      </c>
      <c r="H15" s="21">
        <f t="shared" si="5"/>
        <v>54330.879999999997</v>
      </c>
      <c r="I15" s="21">
        <f t="shared" si="5"/>
        <v>79299.5</v>
      </c>
      <c r="J15" s="21">
        <f t="shared" si="5"/>
        <v>167321.82999999999</v>
      </c>
      <c r="K15" s="21">
        <f t="shared" si="5"/>
        <v>75836.42</v>
      </c>
      <c r="L15" s="21">
        <f t="shared" si="5"/>
        <v>69342.429999999993</v>
      </c>
      <c r="M15" s="21">
        <f t="shared" si="5"/>
        <v>90915.51</v>
      </c>
      <c r="N15" s="21">
        <f t="shared" si="5"/>
        <v>124570.91</v>
      </c>
      <c r="O15" s="9">
        <f t="shared" si="0"/>
        <v>921525.54000000015</v>
      </c>
    </row>
    <row r="16" spans="1:15" s="32" customFormat="1" ht="31.5">
      <c r="A16" s="79"/>
      <c r="B16" s="30" t="s">
        <v>18</v>
      </c>
      <c r="C16" s="31">
        <f>C7+C10+C13</f>
        <v>-18452.050000000003</v>
      </c>
      <c r="D16" s="31">
        <f t="shared" ref="D16:N16" si="6">D7+D10+D13</f>
        <v>11765.61</v>
      </c>
      <c r="E16" s="31">
        <f t="shared" si="6"/>
        <v>709.07000000000062</v>
      </c>
      <c r="F16" s="31">
        <f t="shared" si="6"/>
        <v>-12830.68</v>
      </c>
      <c r="G16" s="31">
        <f t="shared" si="6"/>
        <v>-27514.149999999994</v>
      </c>
      <c r="H16" s="31">
        <f t="shared" si="6"/>
        <v>-26870.48000000001</v>
      </c>
      <c r="I16" s="31">
        <f t="shared" si="6"/>
        <v>-1901.8600000000069</v>
      </c>
      <c r="J16" s="31">
        <f t="shared" si="6"/>
        <v>86120.469999999987</v>
      </c>
      <c r="K16" s="31">
        <f t="shared" si="6"/>
        <v>-7469.6100000000069</v>
      </c>
      <c r="L16" s="31">
        <f t="shared" si="6"/>
        <v>-13963.600000000013</v>
      </c>
      <c r="M16" s="31">
        <f t="shared" si="6"/>
        <v>7609.4799999999896</v>
      </c>
      <c r="N16" s="31">
        <f t="shared" si="6"/>
        <v>41264.879999999997</v>
      </c>
      <c r="O16" s="31">
        <f t="shared" si="0"/>
        <v>38467.079999999944</v>
      </c>
    </row>
    <row r="17" spans="1:15" ht="15.75" customHeight="1">
      <c r="A17" s="81" t="s">
        <v>22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3"/>
      <c r="O17" s="9"/>
    </row>
    <row r="18" spans="1:15" s="12" customFormat="1" ht="33" customHeight="1">
      <c r="A18" s="80" t="s">
        <v>49</v>
      </c>
      <c r="B18" s="80"/>
      <c r="C18" s="6">
        <f>C19+C20</f>
        <v>5824.0140000000001</v>
      </c>
      <c r="D18" s="49">
        <f t="shared" ref="D18:M18" si="7">D19+D20</f>
        <v>5824.0140000000001</v>
      </c>
      <c r="E18" s="49">
        <f t="shared" si="7"/>
        <v>5824.0140000000001</v>
      </c>
      <c r="F18" s="49">
        <f t="shared" si="7"/>
        <v>5824.0140000000001</v>
      </c>
      <c r="G18" s="49">
        <f t="shared" si="7"/>
        <v>10044.314</v>
      </c>
      <c r="H18" s="49">
        <f t="shared" si="7"/>
        <v>10044.314</v>
      </c>
      <c r="I18" s="49">
        <f t="shared" si="7"/>
        <v>10044.314</v>
      </c>
      <c r="J18" s="49">
        <f t="shared" si="7"/>
        <v>10044.314</v>
      </c>
      <c r="K18" s="49">
        <f t="shared" si="7"/>
        <v>10044.314</v>
      </c>
      <c r="L18" s="49">
        <f t="shared" si="7"/>
        <v>10044.314</v>
      </c>
      <c r="M18" s="49">
        <f t="shared" si="7"/>
        <v>10044.314</v>
      </c>
      <c r="N18" s="49">
        <f>N19+N20</f>
        <v>10044.314</v>
      </c>
      <c r="O18" s="6">
        <f>SUM(C18:N18)</f>
        <v>103650.568</v>
      </c>
    </row>
    <row r="19" spans="1:15" s="15" customFormat="1" ht="33" customHeight="1">
      <c r="A19" s="64" t="s">
        <v>50</v>
      </c>
      <c r="B19" s="65"/>
      <c r="C19" s="14">
        <f>C3*1.38</f>
        <v>5824.0140000000001</v>
      </c>
      <c r="D19" s="14">
        <f t="shared" ref="D19:N19" si="8">D3*1.38</f>
        <v>5824.0140000000001</v>
      </c>
      <c r="E19" s="14">
        <f t="shared" si="8"/>
        <v>5824.0140000000001</v>
      </c>
      <c r="F19" s="14">
        <f t="shared" si="8"/>
        <v>5824.0140000000001</v>
      </c>
      <c r="G19" s="14">
        <f t="shared" si="8"/>
        <v>5824.0140000000001</v>
      </c>
      <c r="H19" s="14">
        <f t="shared" si="8"/>
        <v>5824.0140000000001</v>
      </c>
      <c r="I19" s="14">
        <f t="shared" si="8"/>
        <v>5824.0140000000001</v>
      </c>
      <c r="J19" s="14">
        <f t="shared" si="8"/>
        <v>5824.0140000000001</v>
      </c>
      <c r="K19" s="14">
        <f t="shared" si="8"/>
        <v>5824.0140000000001</v>
      </c>
      <c r="L19" s="14">
        <f t="shared" si="8"/>
        <v>5824.0140000000001</v>
      </c>
      <c r="M19" s="14">
        <f t="shared" si="8"/>
        <v>5824.0140000000001</v>
      </c>
      <c r="N19" s="14">
        <f t="shared" si="8"/>
        <v>5824.0140000000001</v>
      </c>
      <c r="O19" s="14">
        <f t="shared" si="0"/>
        <v>69888.16800000002</v>
      </c>
    </row>
    <row r="20" spans="1:15" s="15" customFormat="1" ht="33" customHeight="1">
      <c r="A20" s="64" t="s">
        <v>51</v>
      </c>
      <c r="B20" s="65"/>
      <c r="C20" s="14"/>
      <c r="D20" s="8"/>
      <c r="E20" s="8"/>
      <c r="F20" s="8"/>
      <c r="G20" s="14">
        <f>G3*1</f>
        <v>4220.3</v>
      </c>
      <c r="H20" s="14">
        <f t="shared" ref="H20:N20" si="9">H3*1</f>
        <v>4220.3</v>
      </c>
      <c r="I20" s="14">
        <f t="shared" si="9"/>
        <v>4220.3</v>
      </c>
      <c r="J20" s="14">
        <f t="shared" si="9"/>
        <v>4220.3</v>
      </c>
      <c r="K20" s="14">
        <f t="shared" si="9"/>
        <v>4220.3</v>
      </c>
      <c r="L20" s="14">
        <f t="shared" si="9"/>
        <v>4220.3</v>
      </c>
      <c r="M20" s="14">
        <f t="shared" si="9"/>
        <v>4220.3</v>
      </c>
      <c r="N20" s="14">
        <f t="shared" si="9"/>
        <v>4220.3</v>
      </c>
      <c r="O20" s="14">
        <f t="shared" si="0"/>
        <v>33762.400000000001</v>
      </c>
    </row>
    <row r="21" spans="1:15" s="12" customFormat="1" ht="33" customHeight="1">
      <c r="A21" s="66" t="s">
        <v>88</v>
      </c>
      <c r="B21" s="67"/>
      <c r="C21" s="6">
        <f>C3*2.65</f>
        <v>11183.795</v>
      </c>
      <c r="D21" s="49">
        <f t="shared" ref="D21:N21" si="10">D3*2.65</f>
        <v>11183.795</v>
      </c>
      <c r="E21" s="49">
        <f t="shared" si="10"/>
        <v>11183.795</v>
      </c>
      <c r="F21" s="49">
        <f t="shared" si="10"/>
        <v>11183.795</v>
      </c>
      <c r="G21" s="49">
        <f t="shared" si="10"/>
        <v>11183.795</v>
      </c>
      <c r="H21" s="49">
        <f t="shared" si="10"/>
        <v>11183.795</v>
      </c>
      <c r="I21" s="49">
        <f t="shared" si="10"/>
        <v>11183.795</v>
      </c>
      <c r="J21" s="49">
        <f t="shared" si="10"/>
        <v>11183.795</v>
      </c>
      <c r="K21" s="49">
        <f t="shared" si="10"/>
        <v>11183.795</v>
      </c>
      <c r="L21" s="49">
        <f t="shared" si="10"/>
        <v>11183.795</v>
      </c>
      <c r="M21" s="49">
        <f t="shared" si="10"/>
        <v>11183.795</v>
      </c>
      <c r="N21" s="55">
        <f t="shared" si="10"/>
        <v>11183.795</v>
      </c>
      <c r="O21" s="6">
        <f>SUM(C21:N21)</f>
        <v>134205.54</v>
      </c>
    </row>
    <row r="22" spans="1:15" s="15" customFormat="1" ht="48" customHeight="1">
      <c r="A22" s="64" t="s">
        <v>52</v>
      </c>
      <c r="B22" s="65"/>
      <c r="C22" s="14">
        <f>C3*0.67</f>
        <v>2827.6010000000001</v>
      </c>
      <c r="D22" s="14">
        <f t="shared" ref="D22:N22" si="11">D3*0.67</f>
        <v>2827.6010000000001</v>
      </c>
      <c r="E22" s="14">
        <f t="shared" si="11"/>
        <v>2827.6010000000001</v>
      </c>
      <c r="F22" s="14">
        <f t="shared" si="11"/>
        <v>2827.6010000000001</v>
      </c>
      <c r="G22" s="14">
        <f t="shared" si="11"/>
        <v>2827.6010000000001</v>
      </c>
      <c r="H22" s="14">
        <f t="shared" si="11"/>
        <v>2827.6010000000001</v>
      </c>
      <c r="I22" s="14">
        <f t="shared" si="11"/>
        <v>2827.6010000000001</v>
      </c>
      <c r="J22" s="14">
        <f t="shared" si="11"/>
        <v>2827.6010000000001</v>
      </c>
      <c r="K22" s="14">
        <f t="shared" si="11"/>
        <v>2827.6010000000001</v>
      </c>
      <c r="L22" s="14">
        <f t="shared" si="11"/>
        <v>2827.6010000000001</v>
      </c>
      <c r="M22" s="14">
        <f t="shared" si="11"/>
        <v>2827.6010000000001</v>
      </c>
      <c r="N22" s="14">
        <f t="shared" si="11"/>
        <v>2827.6010000000001</v>
      </c>
      <c r="O22" s="14">
        <f t="shared" si="0"/>
        <v>33931.211999999992</v>
      </c>
    </row>
    <row r="23" spans="1:15" s="15" customFormat="1" ht="48" customHeight="1">
      <c r="A23" s="64" t="s">
        <v>53</v>
      </c>
      <c r="B23" s="65"/>
      <c r="C23" s="14">
        <f>C3*0.66</f>
        <v>2785.3980000000001</v>
      </c>
      <c r="D23" s="14">
        <f t="shared" ref="D23:N23" si="12">D3*0.66</f>
        <v>2785.3980000000001</v>
      </c>
      <c r="E23" s="14">
        <f t="shared" si="12"/>
        <v>2785.3980000000001</v>
      </c>
      <c r="F23" s="14">
        <f t="shared" si="12"/>
        <v>2785.3980000000001</v>
      </c>
      <c r="G23" s="14">
        <f t="shared" si="12"/>
        <v>2785.3980000000001</v>
      </c>
      <c r="H23" s="14">
        <f t="shared" si="12"/>
        <v>2785.3980000000001</v>
      </c>
      <c r="I23" s="14">
        <f t="shared" si="12"/>
        <v>2785.3980000000001</v>
      </c>
      <c r="J23" s="14">
        <f t="shared" si="12"/>
        <v>2785.3980000000001</v>
      </c>
      <c r="K23" s="14">
        <f t="shared" si="12"/>
        <v>2785.3980000000001</v>
      </c>
      <c r="L23" s="14">
        <f t="shared" si="12"/>
        <v>2785.3980000000001</v>
      </c>
      <c r="M23" s="14">
        <f t="shared" si="12"/>
        <v>2785.3980000000001</v>
      </c>
      <c r="N23" s="14">
        <f t="shared" si="12"/>
        <v>2785.3980000000001</v>
      </c>
      <c r="O23" s="14">
        <f t="shared" si="0"/>
        <v>33424.776000000005</v>
      </c>
    </row>
    <row r="24" spans="1:15" s="15" customFormat="1" ht="33" customHeight="1">
      <c r="A24" s="64" t="s">
        <v>54</v>
      </c>
      <c r="B24" s="65"/>
      <c r="C24" s="14">
        <f>C3*0.8</f>
        <v>3376.2400000000002</v>
      </c>
      <c r="D24" s="14">
        <f t="shared" ref="D24:N24" si="13">D3*0.8</f>
        <v>3376.2400000000002</v>
      </c>
      <c r="E24" s="14">
        <f t="shared" si="13"/>
        <v>3376.2400000000002</v>
      </c>
      <c r="F24" s="14">
        <f t="shared" si="13"/>
        <v>3376.2400000000002</v>
      </c>
      <c r="G24" s="14">
        <f t="shared" si="13"/>
        <v>3376.2400000000002</v>
      </c>
      <c r="H24" s="14">
        <f t="shared" si="13"/>
        <v>3376.2400000000002</v>
      </c>
      <c r="I24" s="14">
        <f t="shared" si="13"/>
        <v>3376.2400000000002</v>
      </c>
      <c r="J24" s="14">
        <f t="shared" si="13"/>
        <v>3376.2400000000002</v>
      </c>
      <c r="K24" s="14">
        <f t="shared" si="13"/>
        <v>3376.2400000000002</v>
      </c>
      <c r="L24" s="14">
        <f t="shared" si="13"/>
        <v>3376.2400000000002</v>
      </c>
      <c r="M24" s="14">
        <f t="shared" si="13"/>
        <v>3376.2400000000002</v>
      </c>
      <c r="N24" s="14">
        <f t="shared" si="13"/>
        <v>3376.2400000000002</v>
      </c>
      <c r="O24" s="14">
        <f t="shared" si="0"/>
        <v>40514.880000000005</v>
      </c>
    </row>
    <row r="25" spans="1:15" s="15" customFormat="1" ht="48" customHeight="1">
      <c r="A25" s="64" t="s">
        <v>55</v>
      </c>
      <c r="B25" s="65"/>
      <c r="C25" s="14">
        <f>C3*0.52</f>
        <v>2194.556</v>
      </c>
      <c r="D25" s="14">
        <f t="shared" ref="D25:N25" si="14">D3*0.52</f>
        <v>2194.556</v>
      </c>
      <c r="E25" s="14">
        <f t="shared" si="14"/>
        <v>2194.556</v>
      </c>
      <c r="F25" s="14">
        <f t="shared" si="14"/>
        <v>2194.556</v>
      </c>
      <c r="G25" s="14">
        <f t="shared" si="14"/>
        <v>2194.556</v>
      </c>
      <c r="H25" s="14">
        <f t="shared" si="14"/>
        <v>2194.556</v>
      </c>
      <c r="I25" s="14">
        <f t="shared" si="14"/>
        <v>2194.556</v>
      </c>
      <c r="J25" s="14">
        <f t="shared" si="14"/>
        <v>2194.556</v>
      </c>
      <c r="K25" s="14">
        <f t="shared" si="14"/>
        <v>2194.556</v>
      </c>
      <c r="L25" s="14">
        <f t="shared" si="14"/>
        <v>2194.556</v>
      </c>
      <c r="M25" s="14">
        <f t="shared" si="14"/>
        <v>2194.556</v>
      </c>
      <c r="N25" s="14">
        <f t="shared" si="14"/>
        <v>2194.556</v>
      </c>
      <c r="O25" s="14">
        <f>SUM(C25:N25)</f>
        <v>26334.672000000002</v>
      </c>
    </row>
    <row r="26" spans="1:15" s="12" customFormat="1" ht="33" customHeight="1">
      <c r="A26" s="66" t="s">
        <v>56</v>
      </c>
      <c r="B26" s="67"/>
      <c r="C26" s="6">
        <f>C3*0.64</f>
        <v>2700.9920000000002</v>
      </c>
      <c r="D26" s="41">
        <f t="shared" ref="D26:N26" si="15">D3*0.64</f>
        <v>2700.9920000000002</v>
      </c>
      <c r="E26" s="41">
        <f t="shared" si="15"/>
        <v>2700.9920000000002</v>
      </c>
      <c r="F26" s="41">
        <f t="shared" si="15"/>
        <v>2700.9920000000002</v>
      </c>
      <c r="G26" s="20">
        <f t="shared" si="15"/>
        <v>2700.9920000000002</v>
      </c>
      <c r="H26" s="25">
        <f t="shared" si="15"/>
        <v>2700.9920000000002</v>
      </c>
      <c r="I26" s="26">
        <f t="shared" si="15"/>
        <v>2700.9920000000002</v>
      </c>
      <c r="J26" s="43">
        <f t="shared" si="15"/>
        <v>2700.9920000000002</v>
      </c>
      <c r="K26" s="46">
        <f t="shared" si="15"/>
        <v>2700.9920000000002</v>
      </c>
      <c r="L26" s="47">
        <f t="shared" si="15"/>
        <v>2700.9920000000002</v>
      </c>
      <c r="M26" s="48">
        <f t="shared" si="15"/>
        <v>2700.9920000000002</v>
      </c>
      <c r="N26" s="55">
        <f t="shared" si="15"/>
        <v>2700.9920000000002</v>
      </c>
      <c r="O26" s="6">
        <f t="shared" si="0"/>
        <v>32411.903999999995</v>
      </c>
    </row>
    <row r="27" spans="1:15" s="12" customFormat="1" ht="33" customHeight="1">
      <c r="A27" s="80" t="s">
        <v>57</v>
      </c>
      <c r="B27" s="80"/>
      <c r="C27" s="6">
        <f>C3*2.64</f>
        <v>11141.592000000001</v>
      </c>
      <c r="D27" s="41">
        <f t="shared" ref="D27:N27" si="16">D3*2.64</f>
        <v>11141.592000000001</v>
      </c>
      <c r="E27" s="41">
        <f t="shared" si="16"/>
        <v>11141.592000000001</v>
      </c>
      <c r="F27" s="41">
        <f t="shared" si="16"/>
        <v>11141.592000000001</v>
      </c>
      <c r="G27" s="20">
        <f t="shared" si="16"/>
        <v>11141.592000000001</v>
      </c>
      <c r="H27" s="25">
        <f t="shared" si="16"/>
        <v>11141.592000000001</v>
      </c>
      <c r="I27" s="26">
        <f t="shared" si="16"/>
        <v>11141.592000000001</v>
      </c>
      <c r="J27" s="43">
        <f t="shared" si="16"/>
        <v>11141.592000000001</v>
      </c>
      <c r="K27" s="46">
        <f t="shared" si="16"/>
        <v>11141.592000000001</v>
      </c>
      <c r="L27" s="47">
        <f t="shared" si="16"/>
        <v>11141.592000000001</v>
      </c>
      <c r="M27" s="48">
        <f t="shared" si="16"/>
        <v>11141.592000000001</v>
      </c>
      <c r="N27" s="55">
        <f t="shared" si="16"/>
        <v>11141.592000000001</v>
      </c>
      <c r="O27" s="6">
        <f t="shared" si="0"/>
        <v>133699.10400000002</v>
      </c>
    </row>
    <row r="28" spans="1:15" s="12" customFormat="1" ht="33" customHeight="1">
      <c r="A28" s="66" t="s">
        <v>59</v>
      </c>
      <c r="B28" s="67"/>
      <c r="C28" s="6">
        <f t="shared" ref="C28:N28" si="17">C3*1.61</f>
        <v>6794.6830000000009</v>
      </c>
      <c r="D28" s="41">
        <f t="shared" si="17"/>
        <v>6794.6830000000009</v>
      </c>
      <c r="E28" s="41">
        <f t="shared" si="17"/>
        <v>6794.6830000000009</v>
      </c>
      <c r="F28" s="41">
        <f t="shared" si="17"/>
        <v>6794.6830000000009</v>
      </c>
      <c r="G28" s="20">
        <f t="shared" si="17"/>
        <v>6794.6830000000009</v>
      </c>
      <c r="H28" s="25">
        <f t="shared" si="17"/>
        <v>6794.6830000000009</v>
      </c>
      <c r="I28" s="26">
        <f t="shared" si="17"/>
        <v>6794.6830000000009</v>
      </c>
      <c r="J28" s="43">
        <f t="shared" si="17"/>
        <v>6794.6830000000009</v>
      </c>
      <c r="K28" s="46">
        <f t="shared" si="17"/>
        <v>6794.6830000000009</v>
      </c>
      <c r="L28" s="47">
        <f t="shared" si="17"/>
        <v>6794.6830000000009</v>
      </c>
      <c r="M28" s="48">
        <f t="shared" si="17"/>
        <v>6794.6830000000009</v>
      </c>
      <c r="N28" s="55">
        <f t="shared" si="17"/>
        <v>6794.6830000000009</v>
      </c>
      <c r="O28" s="6">
        <f>SUM(C28:N28)</f>
        <v>81536.19600000004</v>
      </c>
    </row>
    <row r="29" spans="1:15" s="35" customFormat="1">
      <c r="A29" s="66" t="s">
        <v>62</v>
      </c>
      <c r="B29" s="67"/>
      <c r="C29" s="34"/>
      <c r="D29" s="41"/>
      <c r="E29" s="41"/>
      <c r="F29" s="41"/>
      <c r="G29" s="34"/>
      <c r="H29" s="34"/>
      <c r="I29" s="34">
        <f t="shared" ref="I29:M29" si="18">0.2*J3</f>
        <v>844.06000000000006</v>
      </c>
      <c r="J29" s="43">
        <f t="shared" si="18"/>
        <v>844.06000000000006</v>
      </c>
      <c r="K29" s="46">
        <f t="shared" si="18"/>
        <v>844.06000000000006</v>
      </c>
      <c r="L29" s="47">
        <f t="shared" si="18"/>
        <v>844.06000000000006</v>
      </c>
      <c r="M29" s="48">
        <f t="shared" si="18"/>
        <v>844.06000000000006</v>
      </c>
      <c r="N29" s="56">
        <v>844.06</v>
      </c>
      <c r="O29" s="36">
        <f>SUM(C29:N29)</f>
        <v>5064.3600000000006</v>
      </c>
    </row>
    <row r="30" spans="1:15" s="12" customFormat="1" ht="33" customHeight="1">
      <c r="A30" s="80" t="s">
        <v>63</v>
      </c>
      <c r="B30" s="80"/>
      <c r="C30" s="6"/>
      <c r="D30" s="41">
        <f>3600+1649.7+1099.8</f>
        <v>6349.5</v>
      </c>
      <c r="E30" s="41">
        <f>549.9+1649.7+549.9</f>
        <v>2749.5</v>
      </c>
      <c r="F30" s="41"/>
      <c r="G30" s="6"/>
      <c r="H30" s="6"/>
      <c r="I30" s="6"/>
      <c r="J30" s="6"/>
      <c r="K30" s="6"/>
      <c r="L30" s="6">
        <f>700+350</f>
        <v>1050</v>
      </c>
      <c r="M30" s="6">
        <v>4375</v>
      </c>
      <c r="N30" s="6">
        <v>3675</v>
      </c>
      <c r="O30" s="6">
        <f t="shared" si="0"/>
        <v>18199</v>
      </c>
    </row>
    <row r="31" spans="1:15" s="12" customFormat="1">
      <c r="A31" s="66" t="s">
        <v>64</v>
      </c>
      <c r="B31" s="67"/>
      <c r="C31" s="6"/>
      <c r="D31" s="41">
        <f>9000+10000</f>
        <v>19000</v>
      </c>
      <c r="E31" s="41">
        <v>6500</v>
      </c>
      <c r="F31" s="41"/>
      <c r="G31" s="6"/>
      <c r="H31" s="6"/>
      <c r="I31" s="6"/>
      <c r="J31" s="6"/>
      <c r="K31" s="6"/>
      <c r="L31" s="6"/>
      <c r="M31" s="6">
        <f>5000+10000</f>
        <v>15000</v>
      </c>
      <c r="N31" s="6">
        <f>12000+12000</f>
        <v>24000</v>
      </c>
      <c r="O31" s="6">
        <f t="shared" si="0"/>
        <v>64500</v>
      </c>
    </row>
    <row r="32" spans="1:15" s="12" customFormat="1">
      <c r="A32" s="66" t="s">
        <v>65</v>
      </c>
      <c r="B32" s="67"/>
      <c r="C32" s="6"/>
      <c r="D32" s="41"/>
      <c r="E32" s="41"/>
      <c r="F32" s="41"/>
      <c r="G32" s="6"/>
      <c r="H32" s="6"/>
      <c r="I32" s="6"/>
      <c r="J32" s="6"/>
      <c r="K32" s="6"/>
      <c r="L32" s="6"/>
      <c r="M32" s="6"/>
      <c r="N32" s="6"/>
      <c r="O32" s="6">
        <f t="shared" si="0"/>
        <v>0</v>
      </c>
    </row>
    <row r="33" spans="1:16" s="12" customFormat="1">
      <c r="A33" s="66" t="s">
        <v>66</v>
      </c>
      <c r="B33" s="67"/>
      <c r="C33" s="6">
        <f>F39+F40</f>
        <v>1100.28</v>
      </c>
      <c r="D33" s="41">
        <f>F41</f>
        <v>612</v>
      </c>
      <c r="E33" s="41"/>
      <c r="F33" s="41">
        <f>F42+F43</f>
        <v>838.30000000000007</v>
      </c>
      <c r="G33" s="6"/>
      <c r="H33" s="6">
        <f>F44</f>
        <v>1004.53</v>
      </c>
      <c r="I33" s="6">
        <f>F45</f>
        <v>2750</v>
      </c>
      <c r="J33" s="6">
        <f>F46+F47+F48</f>
        <v>3303.14</v>
      </c>
      <c r="K33" s="6">
        <f>F49+F50</f>
        <v>110745.81</v>
      </c>
      <c r="L33" s="6">
        <f>F51+F52+F53</f>
        <v>87755.27</v>
      </c>
      <c r="M33" s="6">
        <f>F54</f>
        <v>1600</v>
      </c>
      <c r="N33" s="6">
        <f>F55+F56+F57+F58</f>
        <v>14453.75</v>
      </c>
      <c r="O33" s="6">
        <f t="shared" si="0"/>
        <v>224163.08000000002</v>
      </c>
    </row>
    <row r="34" spans="1:16" s="16" customFormat="1">
      <c r="A34" s="68" t="s">
        <v>33</v>
      </c>
      <c r="B34" s="69"/>
      <c r="C34" s="11">
        <f>SUM(C18:C33)-C18-C21</f>
        <v>38745.356000000007</v>
      </c>
      <c r="D34" s="11">
        <f t="shared" ref="D34:M34" si="19">SUM(D18:D33)-D18-D21</f>
        <v>63606.576000000015</v>
      </c>
      <c r="E34" s="11">
        <f t="shared" si="19"/>
        <v>46894.576000000008</v>
      </c>
      <c r="F34" s="11">
        <f t="shared" si="19"/>
        <v>38483.376000000011</v>
      </c>
      <c r="G34" s="11">
        <f t="shared" si="19"/>
        <v>41865.376000000004</v>
      </c>
      <c r="H34" s="11">
        <f t="shared" si="19"/>
        <v>42869.906000000003</v>
      </c>
      <c r="I34" s="11">
        <f t="shared" si="19"/>
        <v>45459.436000000002</v>
      </c>
      <c r="J34" s="11">
        <f t="shared" si="19"/>
        <v>46012.576000000001</v>
      </c>
      <c r="K34" s="11">
        <f t="shared" si="19"/>
        <v>153455.24599999996</v>
      </c>
      <c r="L34" s="11">
        <f t="shared" si="19"/>
        <v>131514.70599999998</v>
      </c>
      <c r="M34" s="11">
        <f t="shared" si="19"/>
        <v>63684.436000000002</v>
      </c>
      <c r="N34" s="11">
        <f>SUM(N18:N33)-N18-N21</f>
        <v>84838.186000000002</v>
      </c>
      <c r="O34" s="11">
        <f t="shared" si="0"/>
        <v>797429.75199999998</v>
      </c>
      <c r="P34" s="16">
        <f>O34-Лист1!E38</f>
        <v>0</v>
      </c>
    </row>
    <row r="35" spans="1:16" s="17" customFormat="1">
      <c r="A35" s="72" t="s">
        <v>30</v>
      </c>
      <c r="B35" s="73"/>
      <c r="C35" s="13">
        <f>C15-C34</f>
        <v>-2456.0460000000094</v>
      </c>
      <c r="D35" s="13">
        <f t="shared" ref="D35:N35" si="20">D15-D34</f>
        <v>2900.3939999999857</v>
      </c>
      <c r="E35" s="13">
        <f t="shared" si="20"/>
        <v>8555.8539999999921</v>
      </c>
      <c r="F35" s="13">
        <f t="shared" si="20"/>
        <v>3427.3039999999892</v>
      </c>
      <c r="G35" s="13">
        <f t="shared" si="20"/>
        <v>17885.294000000002</v>
      </c>
      <c r="H35" s="13">
        <f t="shared" si="20"/>
        <v>11460.973999999995</v>
      </c>
      <c r="I35" s="13">
        <f t="shared" si="20"/>
        <v>33840.063999999998</v>
      </c>
      <c r="J35" s="13">
        <f t="shared" si="20"/>
        <v>121309.25399999999</v>
      </c>
      <c r="K35" s="13">
        <f t="shared" si="20"/>
        <v>-77618.825999999957</v>
      </c>
      <c r="L35" s="13">
        <f t="shared" si="20"/>
        <v>-62172.275999999983</v>
      </c>
      <c r="M35" s="13">
        <f t="shared" si="20"/>
        <v>27231.073999999993</v>
      </c>
      <c r="N35" s="13">
        <f t="shared" si="20"/>
        <v>39732.724000000002</v>
      </c>
      <c r="O35" s="13">
        <f>SUM(C35:N35)</f>
        <v>124095.788</v>
      </c>
    </row>
    <row r="37" spans="1:16" ht="15.75" customHeight="1">
      <c r="A37" s="89" t="s">
        <v>29</v>
      </c>
      <c r="B37" s="89"/>
      <c r="C37" s="89"/>
      <c r="D37" s="89"/>
      <c r="E37" s="89"/>
      <c r="F37" s="89"/>
    </row>
    <row r="38" spans="1:16" ht="31.5">
      <c r="A38" s="70" t="s">
        <v>23</v>
      </c>
      <c r="B38" s="71"/>
      <c r="C38" s="2" t="s">
        <v>24</v>
      </c>
      <c r="D38" s="29" t="s">
        <v>35</v>
      </c>
      <c r="E38" s="40" t="s">
        <v>31</v>
      </c>
      <c r="F38" s="40" t="s">
        <v>48</v>
      </c>
    </row>
    <row r="39" spans="1:16">
      <c r="A39" s="60" t="s">
        <v>34</v>
      </c>
      <c r="B39" s="61"/>
      <c r="C39" s="4" t="s">
        <v>36</v>
      </c>
      <c r="D39" s="37" t="s">
        <v>47</v>
      </c>
      <c r="E39" s="45">
        <v>11</v>
      </c>
      <c r="F39" s="40">
        <v>513.52</v>
      </c>
      <c r="I39" s="70" t="s">
        <v>30</v>
      </c>
      <c r="J39" s="92"/>
      <c r="K39" s="92"/>
      <c r="L39" s="92"/>
      <c r="M39" s="92"/>
      <c r="N39" s="71"/>
      <c r="O39" s="84"/>
    </row>
    <row r="40" spans="1:16" ht="15.75" customHeight="1">
      <c r="A40" s="60" t="s">
        <v>37</v>
      </c>
      <c r="B40" s="61"/>
      <c r="C40" s="4" t="s">
        <v>36</v>
      </c>
      <c r="D40" s="37" t="s">
        <v>47</v>
      </c>
      <c r="E40" s="45">
        <v>1</v>
      </c>
      <c r="F40" s="40">
        <v>586.76</v>
      </c>
      <c r="I40" s="60" t="s">
        <v>45</v>
      </c>
      <c r="J40" s="91"/>
      <c r="K40" s="91"/>
      <c r="L40" s="91"/>
      <c r="M40" s="61"/>
      <c r="N40" s="2">
        <v>-203289.56</v>
      </c>
      <c r="O40" s="84"/>
    </row>
    <row r="41" spans="1:16" ht="30.75" customHeight="1">
      <c r="A41" s="60" t="s">
        <v>58</v>
      </c>
      <c r="B41" s="61"/>
      <c r="C41" s="4" t="s">
        <v>38</v>
      </c>
      <c r="D41" s="37" t="s">
        <v>39</v>
      </c>
      <c r="E41" s="45">
        <v>4</v>
      </c>
      <c r="F41" s="40">
        <v>612</v>
      </c>
      <c r="G41" s="12"/>
      <c r="I41" s="60" t="s">
        <v>46</v>
      </c>
      <c r="J41" s="91"/>
      <c r="K41" s="91"/>
      <c r="L41" s="91"/>
      <c r="M41" s="61"/>
      <c r="N41" s="2">
        <f>O35</f>
        <v>124095.788</v>
      </c>
      <c r="O41" s="84"/>
    </row>
    <row r="42" spans="1:16">
      <c r="A42" s="60" t="s">
        <v>42</v>
      </c>
      <c r="B42" s="61"/>
      <c r="C42" s="4" t="s">
        <v>43</v>
      </c>
      <c r="D42" s="37" t="s">
        <v>47</v>
      </c>
      <c r="E42" s="45">
        <v>2</v>
      </c>
      <c r="F42" s="40">
        <v>80.7</v>
      </c>
      <c r="G42" s="12"/>
      <c r="I42" s="90" t="s">
        <v>41</v>
      </c>
      <c r="J42" s="90"/>
      <c r="K42" s="90"/>
      <c r="L42" s="90"/>
      <c r="M42" s="90"/>
      <c r="N42" s="3"/>
      <c r="O42" s="84"/>
    </row>
    <row r="43" spans="1:16" ht="15.75" customHeight="1">
      <c r="A43" s="60" t="s">
        <v>44</v>
      </c>
      <c r="B43" s="61"/>
      <c r="C43" s="4" t="s">
        <v>43</v>
      </c>
      <c r="D43" s="37" t="s">
        <v>39</v>
      </c>
      <c r="E43" s="45">
        <v>1</v>
      </c>
      <c r="F43" s="40">
        <v>757.6</v>
      </c>
      <c r="I43" s="88" t="s">
        <v>25</v>
      </c>
      <c r="J43" s="88"/>
      <c r="K43" s="88"/>
      <c r="L43" s="88"/>
      <c r="M43" s="88"/>
      <c r="N43" s="2">
        <f>SUM(N40:N42)</f>
        <v>-79193.771999999997</v>
      </c>
      <c r="O43" s="84"/>
    </row>
    <row r="44" spans="1:16">
      <c r="A44" s="60" t="s">
        <v>60</v>
      </c>
      <c r="B44" s="61"/>
      <c r="C44" s="4" t="s">
        <v>61</v>
      </c>
      <c r="D44" s="37" t="s">
        <v>39</v>
      </c>
      <c r="E44" s="40">
        <v>0.5</v>
      </c>
      <c r="F44" s="40">
        <v>1004.53</v>
      </c>
    </row>
    <row r="45" spans="1:16">
      <c r="A45" s="60" t="s">
        <v>68</v>
      </c>
      <c r="B45" s="61"/>
      <c r="C45" s="42" t="s">
        <v>67</v>
      </c>
      <c r="D45" s="37"/>
      <c r="E45" s="40"/>
      <c r="F45" s="40">
        <v>2750</v>
      </c>
      <c r="G45" s="12"/>
    </row>
    <row r="46" spans="1:16">
      <c r="A46" s="60"/>
      <c r="B46" s="61"/>
      <c r="C46" s="4"/>
      <c r="D46" s="37"/>
      <c r="E46" s="40"/>
      <c r="F46" s="40"/>
      <c r="G46" s="12"/>
    </row>
    <row r="47" spans="1:16">
      <c r="A47" s="60" t="s">
        <v>70</v>
      </c>
      <c r="B47" s="61"/>
      <c r="C47" s="4" t="s">
        <v>69</v>
      </c>
      <c r="D47" s="37" t="s">
        <v>47</v>
      </c>
      <c r="E47" s="40">
        <v>4</v>
      </c>
      <c r="F47" s="40">
        <v>166.64</v>
      </c>
      <c r="G47" s="12"/>
    </row>
    <row r="48" spans="1:16">
      <c r="A48" s="60" t="s">
        <v>71</v>
      </c>
      <c r="B48" s="61"/>
      <c r="C48" s="4" t="s">
        <v>69</v>
      </c>
      <c r="D48" s="37" t="s">
        <v>39</v>
      </c>
      <c r="E48" s="40">
        <v>6</v>
      </c>
      <c r="F48" s="40">
        <v>3136.5</v>
      </c>
      <c r="G48" s="12"/>
    </row>
    <row r="49" spans="1:15">
      <c r="A49" s="60" t="s">
        <v>72</v>
      </c>
      <c r="B49" s="61"/>
      <c r="C49" s="4" t="s">
        <v>73</v>
      </c>
      <c r="D49" s="37" t="s">
        <v>39</v>
      </c>
      <c r="E49" s="40">
        <v>36</v>
      </c>
      <c r="F49" s="40">
        <v>18013.71</v>
      </c>
      <c r="G49" s="12"/>
    </row>
    <row r="50" spans="1:15">
      <c r="A50" s="60" t="s">
        <v>74</v>
      </c>
      <c r="B50" s="61"/>
      <c r="C50" s="4" t="s">
        <v>73</v>
      </c>
      <c r="D50" s="37"/>
      <c r="E50" s="40"/>
      <c r="F50" s="40">
        <v>92732.1</v>
      </c>
      <c r="I50" s="63"/>
      <c r="J50" s="63"/>
      <c r="K50" s="63"/>
      <c r="L50" s="63"/>
      <c r="M50" s="63"/>
      <c r="N50" s="63"/>
      <c r="O50" s="85"/>
    </row>
    <row r="51" spans="1:15">
      <c r="A51" s="60" t="s">
        <v>76</v>
      </c>
      <c r="B51" s="61"/>
      <c r="C51" s="4" t="s">
        <v>77</v>
      </c>
      <c r="D51" s="37" t="s">
        <v>47</v>
      </c>
      <c r="E51" s="40">
        <v>42</v>
      </c>
      <c r="F51" s="40">
        <v>79534.8</v>
      </c>
      <c r="G51" s="12"/>
      <c r="I51" s="87"/>
      <c r="J51" s="87"/>
      <c r="K51" s="87"/>
      <c r="L51" s="87"/>
      <c r="M51" s="87"/>
      <c r="N51" s="18"/>
      <c r="O51" s="85"/>
    </row>
    <row r="52" spans="1:15">
      <c r="A52" s="60" t="s">
        <v>78</v>
      </c>
      <c r="B52" s="61"/>
      <c r="C52" s="4" t="s">
        <v>77</v>
      </c>
      <c r="D52" s="37"/>
      <c r="E52" s="40"/>
      <c r="F52" s="40">
        <v>535.20000000000005</v>
      </c>
      <c r="G52" s="12"/>
      <c r="I52" s="87"/>
      <c r="J52" s="87"/>
      <c r="K52" s="87"/>
      <c r="L52" s="87"/>
      <c r="M52" s="87"/>
      <c r="N52" s="28"/>
      <c r="O52" s="85"/>
    </row>
    <row r="53" spans="1:15">
      <c r="A53" s="60" t="s">
        <v>79</v>
      </c>
      <c r="B53" s="61"/>
      <c r="C53" s="4" t="s">
        <v>77</v>
      </c>
      <c r="D53" s="37"/>
      <c r="E53" s="40"/>
      <c r="F53" s="40">
        <v>7685.27</v>
      </c>
      <c r="G53" s="12"/>
      <c r="I53" s="87"/>
      <c r="J53" s="87"/>
      <c r="K53" s="87"/>
      <c r="L53" s="87"/>
      <c r="M53" s="87"/>
      <c r="N53" s="28"/>
      <c r="O53" s="85"/>
    </row>
    <row r="54" spans="1:15">
      <c r="A54" s="60" t="s">
        <v>80</v>
      </c>
      <c r="B54" s="61"/>
      <c r="C54" s="4" t="s">
        <v>81</v>
      </c>
      <c r="D54" s="37" t="s">
        <v>47</v>
      </c>
      <c r="E54" s="40">
        <v>47</v>
      </c>
      <c r="F54" s="40">
        <v>1600</v>
      </c>
      <c r="G54" s="12"/>
      <c r="I54" s="63"/>
      <c r="J54" s="63"/>
      <c r="K54" s="63"/>
      <c r="L54" s="63"/>
      <c r="M54" s="63"/>
      <c r="N54" s="28"/>
      <c r="O54" s="85"/>
    </row>
    <row r="55" spans="1:15">
      <c r="A55" s="60" t="s">
        <v>93</v>
      </c>
      <c r="B55" s="61"/>
      <c r="C55" s="4" t="s">
        <v>94</v>
      </c>
      <c r="D55" s="37"/>
      <c r="E55" s="40"/>
      <c r="F55" s="40">
        <v>715.02</v>
      </c>
      <c r="G55" s="12"/>
      <c r="I55" s="27"/>
      <c r="J55" s="27"/>
      <c r="K55" s="27"/>
      <c r="L55" s="27"/>
      <c r="M55" s="27"/>
      <c r="N55" s="27"/>
      <c r="O55" s="85"/>
    </row>
    <row r="56" spans="1:15">
      <c r="A56" s="60" t="s">
        <v>95</v>
      </c>
      <c r="B56" s="61"/>
      <c r="C56" s="4" t="s">
        <v>94</v>
      </c>
      <c r="D56" s="37"/>
      <c r="E56" s="40"/>
      <c r="F56" s="40">
        <v>7650</v>
      </c>
      <c r="G56" s="12"/>
      <c r="O56" s="85"/>
    </row>
    <row r="57" spans="1:15">
      <c r="A57" s="60" t="s">
        <v>97</v>
      </c>
      <c r="B57" s="61"/>
      <c r="C57" s="4" t="s">
        <v>94</v>
      </c>
      <c r="D57" s="37" t="s">
        <v>39</v>
      </c>
      <c r="E57" s="40">
        <v>16</v>
      </c>
      <c r="F57" s="40">
        <v>5731</v>
      </c>
      <c r="G57" s="12"/>
      <c r="O57" s="85"/>
    </row>
    <row r="58" spans="1:15">
      <c r="A58" s="60" t="s">
        <v>96</v>
      </c>
      <c r="B58" s="61"/>
      <c r="C58" s="4" t="s">
        <v>94</v>
      </c>
      <c r="D58" s="37"/>
      <c r="E58" s="40"/>
      <c r="F58" s="40">
        <v>357.73</v>
      </c>
      <c r="G58" s="12"/>
      <c r="O58" s="85"/>
    </row>
    <row r="59" spans="1:15">
      <c r="A59" s="60"/>
      <c r="B59" s="61"/>
      <c r="C59" s="4"/>
      <c r="D59" s="37"/>
      <c r="E59" s="40"/>
      <c r="F59" s="40"/>
      <c r="G59" s="12"/>
      <c r="O59" s="85"/>
    </row>
    <row r="60" spans="1:15">
      <c r="A60" s="60"/>
      <c r="B60" s="61"/>
      <c r="C60" s="4"/>
      <c r="D60" s="37"/>
      <c r="E60" s="40"/>
      <c r="F60" s="40"/>
      <c r="G60" s="12"/>
      <c r="I60" s="87"/>
      <c r="J60" s="87"/>
      <c r="K60" s="87"/>
      <c r="L60" s="87"/>
      <c r="M60" s="87"/>
      <c r="N60" s="18"/>
      <c r="O60" s="85"/>
    </row>
    <row r="61" spans="1:15">
      <c r="A61" s="60"/>
      <c r="B61" s="61"/>
      <c r="C61" s="4"/>
      <c r="D61" s="37"/>
      <c r="E61" s="40"/>
      <c r="F61" s="40"/>
      <c r="G61" s="12"/>
      <c r="I61" s="63"/>
      <c r="J61" s="63"/>
      <c r="K61" s="63"/>
      <c r="L61" s="63"/>
      <c r="M61" s="63"/>
      <c r="N61" s="18"/>
      <c r="O61" s="85"/>
    </row>
    <row r="62" spans="1:15">
      <c r="A62" s="60"/>
      <c r="B62" s="61"/>
      <c r="C62" s="4"/>
      <c r="D62" s="37"/>
      <c r="E62" s="40"/>
      <c r="F62" s="40"/>
      <c r="G62" s="12"/>
      <c r="I62" s="19"/>
      <c r="J62" s="19"/>
      <c r="K62" s="19"/>
      <c r="L62" s="19"/>
      <c r="M62" s="19"/>
      <c r="N62" s="19"/>
      <c r="O62" s="19"/>
    </row>
    <row r="63" spans="1:15">
      <c r="A63" s="60"/>
      <c r="B63" s="61"/>
      <c r="C63" s="4"/>
      <c r="D63" s="37"/>
      <c r="E63" s="40"/>
      <c r="F63" s="40"/>
      <c r="G63" s="12"/>
    </row>
    <row r="64" spans="1:15">
      <c r="A64" s="60"/>
      <c r="B64" s="61"/>
      <c r="C64" s="4"/>
      <c r="D64" s="37"/>
      <c r="E64" s="40"/>
      <c r="F64" s="40"/>
      <c r="G64" s="12"/>
    </row>
    <row r="65" spans="1:15">
      <c r="A65" s="60"/>
      <c r="B65" s="61"/>
      <c r="C65" s="4"/>
      <c r="D65" s="37"/>
      <c r="E65" s="40"/>
      <c r="F65" s="40"/>
      <c r="G65" s="12"/>
    </row>
    <row r="66" spans="1:15">
      <c r="A66" s="60"/>
      <c r="B66" s="61"/>
      <c r="C66" s="4"/>
      <c r="D66" s="37"/>
      <c r="E66" s="40"/>
      <c r="F66" s="40"/>
      <c r="G66" s="12"/>
    </row>
    <row r="67" spans="1:15">
      <c r="A67" s="74"/>
      <c r="B67" s="74"/>
      <c r="C67" s="4"/>
      <c r="D67" s="29"/>
      <c r="E67" s="40"/>
      <c r="F67" s="40"/>
      <c r="G67" s="12"/>
    </row>
    <row r="68" spans="1:15">
      <c r="A68" s="63"/>
      <c r="B68" s="63"/>
      <c r="C68" s="33"/>
      <c r="D68" s="38"/>
      <c r="E68" s="40" t="s">
        <v>25</v>
      </c>
      <c r="F68" s="40">
        <f>SUM(F39:F67)</f>
        <v>224163.08</v>
      </c>
      <c r="G68" s="86" t="s">
        <v>26</v>
      </c>
      <c r="H68" s="86"/>
      <c r="I68" s="86"/>
      <c r="J68" s="86"/>
      <c r="K68" s="86"/>
      <c r="L68" s="86"/>
      <c r="M68" s="86"/>
      <c r="N68" s="86"/>
      <c r="O68" s="86"/>
    </row>
    <row r="69" spans="1:15">
      <c r="A69" s="62"/>
      <c r="B69" s="62"/>
      <c r="C69" s="5"/>
      <c r="D69" s="39"/>
    </row>
    <row r="70" spans="1:15">
      <c r="A70" s="62"/>
      <c r="B70" s="62"/>
      <c r="C70" s="5"/>
      <c r="D70" s="39"/>
    </row>
    <row r="71" spans="1:15">
      <c r="A71" s="62"/>
      <c r="B71" s="62"/>
      <c r="C71" s="5"/>
      <c r="D71" s="39"/>
    </row>
    <row r="72" spans="1:15">
      <c r="A72" s="62"/>
      <c r="B72" s="62"/>
      <c r="C72" s="5"/>
      <c r="D72" s="39"/>
    </row>
    <row r="73" spans="1:15">
      <c r="A73" s="62"/>
      <c r="B73" s="62"/>
      <c r="C73" s="5"/>
      <c r="D73" s="39"/>
    </row>
    <row r="74" spans="1:15">
      <c r="A74" s="5"/>
      <c r="B74" s="5"/>
      <c r="C74" s="5"/>
      <c r="D74" s="39"/>
    </row>
    <row r="75" spans="1:15">
      <c r="A75" s="5"/>
      <c r="B75" s="5"/>
      <c r="C75" s="5"/>
      <c r="D75" s="39"/>
    </row>
    <row r="76" spans="1:15">
      <c r="A76" s="5"/>
      <c r="B76" s="5"/>
      <c r="C76" s="5"/>
      <c r="D76" s="39"/>
    </row>
  </sheetData>
  <mergeCells count="81">
    <mergeCell ref="A37:F37"/>
    <mergeCell ref="A52:B52"/>
    <mergeCell ref="I52:M52"/>
    <mergeCell ref="A53:B53"/>
    <mergeCell ref="I53:M53"/>
    <mergeCell ref="I42:M42"/>
    <mergeCell ref="A41:B41"/>
    <mergeCell ref="I40:M40"/>
    <mergeCell ref="I39:N39"/>
    <mergeCell ref="I41:M41"/>
    <mergeCell ref="A39:B39"/>
    <mergeCell ref="A40:B40"/>
    <mergeCell ref="I50:N50"/>
    <mergeCell ref="A46:B46"/>
    <mergeCell ref="A47:B47"/>
    <mergeCell ref="A48:B48"/>
    <mergeCell ref="A54:B54"/>
    <mergeCell ref="I54:M54"/>
    <mergeCell ref="A55:B55"/>
    <mergeCell ref="A56:B56"/>
    <mergeCell ref="A57:B57"/>
    <mergeCell ref="A58:B58"/>
    <mergeCell ref="A59:B59"/>
    <mergeCell ref="O39:O43"/>
    <mergeCell ref="O50:O61"/>
    <mergeCell ref="G68:O68"/>
    <mergeCell ref="A64:B64"/>
    <mergeCell ref="I51:M51"/>
    <mergeCell ref="I60:M60"/>
    <mergeCell ref="I61:M61"/>
    <mergeCell ref="A60:B60"/>
    <mergeCell ref="A61:B61"/>
    <mergeCell ref="A45:B45"/>
    <mergeCell ref="A50:B50"/>
    <mergeCell ref="A43:B43"/>
    <mergeCell ref="A44:B44"/>
    <mergeCell ref="I43:M43"/>
    <mergeCell ref="A5:A7"/>
    <mergeCell ref="A28:B28"/>
    <mergeCell ref="A30:B30"/>
    <mergeCell ref="A24:B24"/>
    <mergeCell ref="A31:B31"/>
    <mergeCell ref="A26:B26"/>
    <mergeCell ref="A14:A16"/>
    <mergeCell ref="A8:A10"/>
    <mergeCell ref="A27:B27"/>
    <mergeCell ref="A20:B20"/>
    <mergeCell ref="A18:B18"/>
    <mergeCell ref="A19:B19"/>
    <mergeCell ref="A21:B21"/>
    <mergeCell ref="A11:A13"/>
    <mergeCell ref="A17:N17"/>
    <mergeCell ref="A29:B29"/>
    <mergeCell ref="O1:O2"/>
    <mergeCell ref="C2:N2"/>
    <mergeCell ref="A4:B4"/>
    <mergeCell ref="A1:B1"/>
    <mergeCell ref="A2:B2"/>
    <mergeCell ref="A3:B3"/>
    <mergeCell ref="A49:B49"/>
    <mergeCell ref="A68:B68"/>
    <mergeCell ref="A65:B65"/>
    <mergeCell ref="A66:B66"/>
    <mergeCell ref="A22:B22"/>
    <mergeCell ref="A23:B23"/>
    <mergeCell ref="A25:B25"/>
    <mergeCell ref="A51:B51"/>
    <mergeCell ref="A63:B63"/>
    <mergeCell ref="A33:B33"/>
    <mergeCell ref="A32:B32"/>
    <mergeCell ref="A34:B34"/>
    <mergeCell ref="A38:B38"/>
    <mergeCell ref="A35:B35"/>
    <mergeCell ref="A42:B42"/>
    <mergeCell ref="A67:B67"/>
    <mergeCell ref="A62:B62"/>
    <mergeCell ref="A73:B73"/>
    <mergeCell ref="A69:B69"/>
    <mergeCell ref="A70:B70"/>
    <mergeCell ref="A71:B71"/>
    <mergeCell ref="A72:B72"/>
  </mergeCells>
  <phoneticPr fontId="0" type="noConversion"/>
  <pageMargins left="0.25" right="0.25" top="0.43" bottom="0.26" header="0.3" footer="0.3"/>
  <pageSetup paperSize="9" scale="74" orientation="landscape" r:id="rId1"/>
  <rowBreaks count="3" manualBreakCount="3">
    <brk id="27" max="14" man="1"/>
    <brk id="68" max="14" man="1"/>
    <brk id="69" max="14" man="1"/>
  </rowBreaks>
  <webPublishItems count="1">
    <webPublishItem id="14653" divId="Лицевой счет ул. 40 ЛЕТ ОКТЯБРЯ, д. 1_14653" sourceType="sheet" destinationFile="H:\ГЛ.Инженер\ЖИЛФОНД пгт ШЕРЕГЕШ\БД домов\40 лет октября 1\2010год\Лицевой счет ул. 40 ЛЕТ ОКТЯБРЯ, д. 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topLeftCell="A22" zoomScaleSheetLayoutView="100" workbookViewId="0">
      <selection activeCell="E24" sqref="E24"/>
    </sheetView>
  </sheetViews>
  <sheetFormatPr defaultRowHeight="15.75"/>
  <cols>
    <col min="1" max="1" width="51.7109375" style="52" bestFit="1" customWidth="1"/>
    <col min="2" max="2" width="10.140625" style="52" bestFit="1" customWidth="1"/>
    <col min="3" max="3" width="9.140625" style="52" bestFit="1" customWidth="1"/>
    <col min="4" max="4" width="8.140625" style="52" bestFit="1" customWidth="1"/>
    <col min="5" max="5" width="13.28515625" style="52" bestFit="1" customWidth="1"/>
    <col min="6" max="16384" width="9.140625" style="52"/>
  </cols>
  <sheetData>
    <row r="1" spans="1:5">
      <c r="A1" s="63" t="s">
        <v>82</v>
      </c>
      <c r="B1" s="63"/>
      <c r="C1" s="63"/>
      <c r="D1" s="63"/>
      <c r="E1" s="63"/>
    </row>
    <row r="2" spans="1:5" ht="36" customHeight="1">
      <c r="A2" s="93" t="s">
        <v>90</v>
      </c>
      <c r="B2" s="93"/>
      <c r="C2" s="93"/>
      <c r="D2" s="93"/>
      <c r="E2" s="29">
        <f>'2016 год'!N40</f>
        <v>-203289.56</v>
      </c>
    </row>
    <row r="3" spans="1:5" ht="15.75" customHeight="1">
      <c r="A3" s="93" t="s">
        <v>92</v>
      </c>
      <c r="B3" s="93"/>
      <c r="C3" s="93"/>
      <c r="D3" s="93"/>
      <c r="E3" s="29">
        <f>'2016 год'!O14</f>
        <v>883058.46000000008</v>
      </c>
    </row>
    <row r="4" spans="1:5" s="50" customFormat="1">
      <c r="A4" s="93" t="s">
        <v>85</v>
      </c>
      <c r="B4" s="93"/>
      <c r="C4" s="93"/>
      <c r="D4" s="93"/>
      <c r="E4" s="29">
        <f>'2016 год'!O15</f>
        <v>921525.54000000015</v>
      </c>
    </row>
    <row r="5" spans="1:5" s="50" customFormat="1" ht="35.25" customHeight="1">
      <c r="A5" s="94" t="s">
        <v>83</v>
      </c>
      <c r="B5" s="94"/>
      <c r="C5" s="94"/>
      <c r="D5" s="94"/>
      <c r="E5" s="94"/>
    </row>
    <row r="6" spans="1:5">
      <c r="A6" s="93" t="str">
        <f>'2016 год'!A18:B18</f>
        <v>1. Услуга по управлению (2,38 руб.с кв.м)</v>
      </c>
      <c r="B6" s="93"/>
      <c r="C6" s="93"/>
      <c r="D6" s="93"/>
      <c r="E6" s="29">
        <f>'2016 год'!O18</f>
        <v>103650.568</v>
      </c>
    </row>
    <row r="7" spans="1:5">
      <c r="A7" s="93" t="str">
        <f>'2016 год'!A21:B21</f>
        <v>2. Техническое обслуживание (2,65 руб.с кв.м)</v>
      </c>
      <c r="B7" s="93"/>
      <c r="C7" s="93"/>
      <c r="D7" s="93"/>
      <c r="E7" s="29">
        <f>'2016 год'!O21</f>
        <v>134205.54</v>
      </c>
    </row>
    <row r="8" spans="1:5">
      <c r="A8" s="93" t="str">
        <f>'2016 год'!A26:B26</f>
        <v>3. Услуги по начислению и сбору платежей (0,64 руб.с кв.м)</v>
      </c>
      <c r="B8" s="93"/>
      <c r="C8" s="93"/>
      <c r="D8" s="93"/>
      <c r="E8" s="29">
        <f>'2016 год'!O26</f>
        <v>32411.903999999995</v>
      </c>
    </row>
    <row r="9" spans="1:5">
      <c r="A9" s="93" t="str">
        <f>'2016 год'!A27:B27</f>
        <v>4. Санитарное содержание мест общего пользования (2,64 руб.с кв.м)</v>
      </c>
      <c r="B9" s="93"/>
      <c r="C9" s="93"/>
      <c r="D9" s="93"/>
      <c r="E9" s="29">
        <f>'2016 год'!O27</f>
        <v>133699.10400000002</v>
      </c>
    </row>
    <row r="10" spans="1:5">
      <c r="A10" s="93" t="str">
        <f>'2016 год'!A28:B28</f>
        <v>5. АВР - диспетчерская служба (1,61 руб.с кв.м)</v>
      </c>
      <c r="B10" s="93"/>
      <c r="C10" s="93"/>
      <c r="D10" s="93"/>
      <c r="E10" s="29">
        <f>'2016 год'!O28</f>
        <v>81536.19600000004</v>
      </c>
    </row>
    <row r="11" spans="1:5">
      <c r="A11" s="93" t="str">
        <f>'2016 год'!A29:B29</f>
        <v>6. Паспортный стол (0,20 руб.с кв.м)</v>
      </c>
      <c r="B11" s="93"/>
      <c r="C11" s="93"/>
      <c r="D11" s="93"/>
      <c r="E11" s="29">
        <f>'2016 год'!O29</f>
        <v>5064.3600000000006</v>
      </c>
    </row>
    <row r="12" spans="1:5">
      <c r="A12" s="93" t="str">
        <f>'2016 год'!A30:B30</f>
        <v>7. Механизированная уборка придомовой территории (1800 руб/час)</v>
      </c>
      <c r="B12" s="93"/>
      <c r="C12" s="93"/>
      <c r="D12" s="93"/>
      <c r="E12" s="29">
        <f>'2016 год'!O30</f>
        <v>18199</v>
      </c>
    </row>
    <row r="13" spans="1:5">
      <c r="A13" s="93" t="str">
        <f>'2016 год'!A31:B31</f>
        <v>8. Очистка кровли</v>
      </c>
      <c r="B13" s="93"/>
      <c r="C13" s="93"/>
      <c r="D13" s="93"/>
      <c r="E13" s="29">
        <f>'2016 год'!O31</f>
        <v>64500</v>
      </c>
    </row>
    <row r="14" spans="1:5">
      <c r="A14" s="95" t="s">
        <v>86</v>
      </c>
      <c r="B14" s="95"/>
      <c r="C14" s="95"/>
      <c r="D14" s="95"/>
      <c r="E14" s="53">
        <f>SUM(E6:E13)</f>
        <v>573266.67200000002</v>
      </c>
    </row>
    <row r="15" spans="1:5">
      <c r="A15" s="70"/>
      <c r="B15" s="92"/>
      <c r="C15" s="92"/>
      <c r="D15" s="92"/>
      <c r="E15" s="71"/>
    </row>
    <row r="16" spans="1:5">
      <c r="A16" s="54" t="s">
        <v>84</v>
      </c>
      <c r="B16" s="29" t="s">
        <v>24</v>
      </c>
      <c r="C16" s="29" t="s">
        <v>35</v>
      </c>
      <c r="D16" s="53" t="s">
        <v>31</v>
      </c>
      <c r="E16" s="53" t="s">
        <v>48</v>
      </c>
    </row>
    <row r="17" spans="1:5">
      <c r="A17" s="51" t="str">
        <f>'2016 год'!A39:B39</f>
        <v>Освещение (смена ламп)</v>
      </c>
      <c r="B17" s="42" t="str">
        <f>'2016 год'!C39</f>
        <v>январь</v>
      </c>
      <c r="C17" s="42" t="str">
        <f>'2016 год'!D39</f>
        <v>шт.</v>
      </c>
      <c r="D17" s="42">
        <f>'2016 год'!E39</f>
        <v>11</v>
      </c>
      <c r="E17" s="59">
        <f>'2016 год'!F39</f>
        <v>513.52</v>
      </c>
    </row>
    <row r="18" spans="1:5">
      <c r="A18" s="57" t="str">
        <f>'2016 год'!A40:B40</f>
        <v>Замена автомата 5п</v>
      </c>
      <c r="B18" s="42" t="str">
        <f>'2016 год'!C40</f>
        <v>январь</v>
      </c>
      <c r="C18" s="42" t="str">
        <f>'2016 год'!D40</f>
        <v>шт.</v>
      </c>
      <c r="D18" s="42">
        <f>'2016 год'!E40</f>
        <v>1</v>
      </c>
      <c r="E18" s="59">
        <f>'2016 год'!F40</f>
        <v>586.76</v>
      </c>
    </row>
    <row r="19" spans="1:5">
      <c r="A19" s="57" t="str">
        <f>'2016 год'!A41:B41</f>
        <v>Очистка канализационной внутренней сети 3п</v>
      </c>
      <c r="B19" s="42" t="str">
        <f>'2016 год'!C41</f>
        <v>февраль</v>
      </c>
      <c r="C19" s="42" t="str">
        <f>'2016 год'!D41</f>
        <v>м.п.</v>
      </c>
      <c r="D19" s="42">
        <f>'2016 год'!E41</f>
        <v>4</v>
      </c>
      <c r="E19" s="59">
        <f>'2016 год'!F41</f>
        <v>612</v>
      </c>
    </row>
    <row r="20" spans="1:5">
      <c r="A20" s="57" t="str">
        <f>'2016 год'!A42:B42</f>
        <v xml:space="preserve">Смена ламп 7п </v>
      </c>
      <c r="B20" s="42" t="str">
        <f>'2016 год'!C42</f>
        <v>апрель</v>
      </c>
      <c r="C20" s="42" t="str">
        <f>'2016 год'!D42</f>
        <v>шт.</v>
      </c>
      <c r="D20" s="42">
        <f>'2016 год'!E42</f>
        <v>2</v>
      </c>
      <c r="E20" s="59">
        <f>'2016 год'!F42</f>
        <v>80.7</v>
      </c>
    </row>
    <row r="21" spans="1:5">
      <c r="A21" s="57" t="str">
        <f>'2016 год'!A43:B43</f>
        <v>Замена трубы 89</v>
      </c>
      <c r="B21" s="42" t="str">
        <f>'2016 год'!C43</f>
        <v>апрель</v>
      </c>
      <c r="C21" s="42" t="str">
        <f>'2016 год'!D43</f>
        <v>м.п.</v>
      </c>
      <c r="D21" s="42">
        <f>'2016 год'!E43</f>
        <v>1</v>
      </c>
      <c r="E21" s="59">
        <f>'2016 год'!F43</f>
        <v>757.6</v>
      </c>
    </row>
    <row r="22" spans="1:5">
      <c r="A22" s="57" t="str">
        <f>'2016 год'!A44:B44</f>
        <v>Монтаж муфт для промывки ст. отопления</v>
      </c>
      <c r="B22" s="42" t="str">
        <f>'2016 год'!C44</f>
        <v>июнь</v>
      </c>
      <c r="C22" s="42" t="str">
        <f>'2016 год'!D44</f>
        <v>м.п.</v>
      </c>
      <c r="D22" s="42">
        <f>'2016 год'!E44</f>
        <v>0.5</v>
      </c>
      <c r="E22" s="59">
        <f>'2016 год'!F44</f>
        <v>1004.53</v>
      </c>
    </row>
    <row r="23" spans="1:5">
      <c r="A23" s="57" t="str">
        <f>'2016 год'!A45:B45</f>
        <v>Укрепление кровельного листа над кв 13</v>
      </c>
      <c r="B23" s="42" t="str">
        <f>'2016 год'!C45</f>
        <v>июль</v>
      </c>
      <c r="C23" s="42"/>
      <c r="D23" s="42"/>
      <c r="E23" s="59">
        <f>'2016 год'!F45</f>
        <v>2750</v>
      </c>
    </row>
    <row r="24" spans="1:5">
      <c r="A24" s="57">
        <f>'2016 год'!A46:B46</f>
        <v>0</v>
      </c>
      <c r="B24" s="42">
        <f>'2016 год'!C46</f>
        <v>0</v>
      </c>
      <c r="C24" s="42">
        <f>'2016 год'!D46</f>
        <v>0</v>
      </c>
      <c r="D24" s="42">
        <f>'2016 год'!E46</f>
        <v>0</v>
      </c>
      <c r="E24" s="59">
        <f>'2016 год'!F46</f>
        <v>0</v>
      </c>
    </row>
    <row r="25" spans="1:5">
      <c r="A25" s="57" t="str">
        <f>'2016 год'!A47:B47</f>
        <v>Замена ламп 2п тамбур, 4п,3п-2эт, 7п-2эт</v>
      </c>
      <c r="B25" s="42" t="str">
        <f>'2016 год'!C47</f>
        <v>август</v>
      </c>
      <c r="C25" s="42" t="str">
        <f>'2016 год'!D47</f>
        <v>шт.</v>
      </c>
      <c r="D25" s="42">
        <f>'2016 год'!E47</f>
        <v>4</v>
      </c>
      <c r="E25" s="59">
        <f>'2016 год'!F47</f>
        <v>166.64</v>
      </c>
    </row>
    <row r="26" spans="1:5">
      <c r="A26" s="57" t="str">
        <f>'2016 год'!A48:B48</f>
        <v>Замена ст хгвс/подвал/подъезд кв 67</v>
      </c>
      <c r="B26" s="42" t="str">
        <f>'2016 год'!C48</f>
        <v>август</v>
      </c>
      <c r="C26" s="42" t="str">
        <f>'2016 год'!D48</f>
        <v>м.п.</v>
      </c>
      <c r="D26" s="42">
        <f>'2016 год'!E48</f>
        <v>6</v>
      </c>
      <c r="E26" s="59">
        <f>'2016 год'!F48</f>
        <v>3136.5</v>
      </c>
    </row>
    <row r="27" spans="1:5">
      <c r="A27" s="57" t="str">
        <f>'2016 год'!A49:B49</f>
        <v>Замена стояка хгвс подвал/59/61/63/65</v>
      </c>
      <c r="B27" s="42" t="str">
        <f>'2016 год'!C49</f>
        <v>сентябрь</v>
      </c>
      <c r="C27" s="42" t="str">
        <f>'2016 год'!D49</f>
        <v>м.п.</v>
      </c>
      <c r="D27" s="42">
        <f>'2016 год'!E49</f>
        <v>36</v>
      </c>
      <c r="E27" s="59">
        <f>'2016 год'!F49</f>
        <v>18013.71</v>
      </c>
    </row>
    <row r="28" spans="1:5">
      <c r="A28" s="57" t="str">
        <f>'2016 год'!A50:B50</f>
        <v>Асфальтирование придомовой территории</v>
      </c>
      <c r="B28" s="42" t="str">
        <f>'2016 год'!C50</f>
        <v>сентябрь</v>
      </c>
      <c r="C28" s="42"/>
      <c r="D28" s="42"/>
      <c r="E28" s="59">
        <f>'2016 год'!F50</f>
        <v>92732.1</v>
      </c>
    </row>
    <row r="29" spans="1:5">
      <c r="A29" s="57" t="str">
        <f>'2016 год'!A51:B51</f>
        <v>Освещение подъездов и придомовой территории</v>
      </c>
      <c r="B29" s="42" t="str">
        <f>'2016 год'!C51</f>
        <v>октябрь</v>
      </c>
      <c r="C29" s="42" t="str">
        <f>'2016 год'!D51</f>
        <v>шт.</v>
      </c>
      <c r="D29" s="42">
        <f>'2016 год'!E51</f>
        <v>42</v>
      </c>
      <c r="E29" s="59">
        <f>'2016 год'!F51</f>
        <v>79534.8</v>
      </c>
    </row>
    <row r="30" spans="1:5">
      <c r="A30" s="57" t="str">
        <f>'2016 год'!A52:B52</f>
        <v>Остекление 2п4п</v>
      </c>
      <c r="B30" s="42" t="str">
        <f>'2016 год'!C52</f>
        <v>октябрь</v>
      </c>
      <c r="C30" s="42"/>
      <c r="D30" s="42"/>
      <c r="E30" s="59">
        <f>'2016 год'!F52</f>
        <v>535.20000000000005</v>
      </c>
    </row>
    <row r="31" spans="1:5">
      <c r="A31" s="57" t="str">
        <f>'2016 год'!A53:B53</f>
        <v>Изготовление короба 7п</v>
      </c>
      <c r="B31" s="42" t="str">
        <f>'2016 год'!C53</f>
        <v>октябрь</v>
      </c>
      <c r="C31" s="42"/>
      <c r="D31" s="42"/>
      <c r="E31" s="59">
        <f>'2016 год'!F53</f>
        <v>7685.27</v>
      </c>
    </row>
    <row r="32" spans="1:5">
      <c r="A32" s="57" t="str">
        <f>'2016 год'!A54:B54</f>
        <v>Установка замков</v>
      </c>
      <c r="B32" s="42" t="str">
        <f>'2016 год'!C54</f>
        <v>ноябрь</v>
      </c>
      <c r="C32" s="42" t="str">
        <f>'2016 год'!D54</f>
        <v>шт.</v>
      </c>
      <c r="D32" s="42">
        <f>'2016 год'!E54</f>
        <v>47</v>
      </c>
      <c r="E32" s="59">
        <f>'2016 год'!F54</f>
        <v>1600</v>
      </c>
    </row>
    <row r="33" spans="1:5" s="58" customFormat="1">
      <c r="A33" s="57" t="str">
        <f>'2016 год'!A55:B55</f>
        <v>Замена предохранителя ( щитовая)</v>
      </c>
      <c r="B33" s="42" t="str">
        <f>'2016 год'!C55</f>
        <v>декабрь</v>
      </c>
      <c r="C33" s="42"/>
      <c r="D33" s="42"/>
      <c r="E33" s="59">
        <f>'2016 год'!F55</f>
        <v>715.02</v>
      </c>
    </row>
    <row r="34" spans="1:5" s="58" customFormat="1">
      <c r="A34" s="57" t="str">
        <f>'2016 год'!A56:B56</f>
        <v>Прочистка вентиляции кв 47</v>
      </c>
      <c r="B34" s="42" t="str">
        <f>'2016 год'!C56</f>
        <v>декабрь</v>
      </c>
      <c r="C34" s="42"/>
      <c r="D34" s="42"/>
      <c r="E34" s="59">
        <f>'2016 год'!F56</f>
        <v>7650</v>
      </c>
    </row>
    <row r="35" spans="1:5" s="58" customFormat="1">
      <c r="A35" s="57" t="str">
        <f>'2016 год'!A57:B57</f>
        <v>Замена ст. хгвс кв.47/подвал</v>
      </c>
      <c r="B35" s="42" t="str">
        <f>'2016 год'!C57</f>
        <v>декабрь</v>
      </c>
      <c r="C35" s="42" t="str">
        <f>'2016 год'!D57</f>
        <v>м.п.</v>
      </c>
      <c r="D35" s="42">
        <f>'2016 год'!E57</f>
        <v>16</v>
      </c>
      <c r="E35" s="59">
        <f>'2016 год'!F57</f>
        <v>5731</v>
      </c>
    </row>
    <row r="36" spans="1:5" s="58" customFormat="1">
      <c r="A36" s="57" t="str">
        <f>'2016 год'!A58:B58</f>
        <v>Замена ст отопления кв.60</v>
      </c>
      <c r="B36" s="42" t="str">
        <f>'2016 год'!C58</f>
        <v>декабрь</v>
      </c>
      <c r="C36" s="42"/>
      <c r="D36" s="42"/>
      <c r="E36" s="59">
        <f>'2016 год'!F58</f>
        <v>357.73</v>
      </c>
    </row>
    <row r="37" spans="1:5">
      <c r="A37" s="70" t="s">
        <v>86</v>
      </c>
      <c r="B37" s="92"/>
      <c r="C37" s="92"/>
      <c r="D37" s="71"/>
      <c r="E37" s="53">
        <f>SUM(E17:E36)</f>
        <v>224163.08</v>
      </c>
    </row>
    <row r="38" spans="1:5">
      <c r="A38" s="70" t="s">
        <v>87</v>
      </c>
      <c r="B38" s="92"/>
      <c r="C38" s="92"/>
      <c r="D38" s="71"/>
      <c r="E38" s="29">
        <f>E14+E37</f>
        <v>797429.75199999998</v>
      </c>
    </row>
    <row r="39" spans="1:5">
      <c r="A39" s="70" t="s">
        <v>89</v>
      </c>
      <c r="B39" s="92"/>
      <c r="C39" s="92"/>
      <c r="D39" s="71"/>
      <c r="E39" s="29">
        <f>'2016 год'!O35</f>
        <v>124095.788</v>
      </c>
    </row>
    <row r="40" spans="1:5" ht="40.5" customHeight="1">
      <c r="A40" s="93" t="s">
        <v>91</v>
      </c>
      <c r="B40" s="93"/>
      <c r="C40" s="93"/>
      <c r="D40" s="93"/>
      <c r="E40" s="29">
        <f>'2016 год'!N43</f>
        <v>-79193.771999999997</v>
      </c>
    </row>
  </sheetData>
  <mergeCells count="19">
    <mergeCell ref="A11:D11"/>
    <mergeCell ref="A12:D12"/>
    <mergeCell ref="A13:D13"/>
    <mergeCell ref="A2:D2"/>
    <mergeCell ref="A40:D40"/>
    <mergeCell ref="A4:D4"/>
    <mergeCell ref="A5:E5"/>
    <mergeCell ref="A6:D6"/>
    <mergeCell ref="A3:D3"/>
    <mergeCell ref="A38:D38"/>
    <mergeCell ref="A14:D14"/>
    <mergeCell ref="A15:E15"/>
    <mergeCell ref="A39:D39"/>
    <mergeCell ref="A37:D37"/>
    <mergeCell ref="A1:E1"/>
    <mergeCell ref="A7:D7"/>
    <mergeCell ref="A8:D8"/>
    <mergeCell ref="A9:D9"/>
    <mergeCell ref="A10:D10"/>
  </mergeCells>
  <pageMargins left="0.19" right="0.18" top="0.18" bottom="0.18" header="0.2" footer="0.18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2016 год</vt:lpstr>
      <vt:lpstr>Лист1</vt:lpstr>
      <vt:lpstr>'2016 год'!Область_печати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Gorbunov</dc:creator>
  <cp:lastModifiedBy>User</cp:lastModifiedBy>
  <cp:lastPrinted>2017-02-08T09:21:11Z</cp:lastPrinted>
  <dcterms:created xsi:type="dcterms:W3CDTF">2010-11-14T08:15:18Z</dcterms:created>
  <dcterms:modified xsi:type="dcterms:W3CDTF">2017-06-27T08:22:29Z</dcterms:modified>
</cp:coreProperties>
</file>