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по домам 2016 год\"/>
    </mc:Choice>
  </mc:AlternateContent>
  <bookViews>
    <workbookView xWindow="240" yWindow="105" windowWidth="15480" windowHeight="8130" activeTab="1"/>
  </bookViews>
  <sheets>
    <sheet name="2016 год" sheetId="1" r:id="rId1"/>
    <sheet name="Лист1" sheetId="2" r:id="rId2"/>
  </sheets>
  <externalReferences>
    <externalReference r:id="rId3"/>
  </externalReferences>
  <definedNames>
    <definedName name="_xlnm.Print_Area" localSheetId="0">'2016 год'!$A$1:$O$83</definedName>
  </definedNames>
  <calcPr calcId="152511"/>
  <webPublishing codePage="65001"/>
</workbook>
</file>

<file path=xl/calcChain.xml><?xml version="1.0" encoding="utf-8"?>
<calcChain xmlns="http://schemas.openxmlformats.org/spreadsheetml/2006/main">
  <c r="C52" i="2" l="1"/>
  <c r="F52" i="2"/>
  <c r="C53" i="2"/>
  <c r="D53" i="2"/>
  <c r="E53" i="2"/>
  <c r="F53" i="2"/>
  <c r="C54" i="2"/>
  <c r="D54" i="2"/>
  <c r="E54" i="2"/>
  <c r="F54" i="2"/>
  <c r="C55" i="2"/>
  <c r="D55" i="2"/>
  <c r="E55" i="2"/>
  <c r="F55" i="2"/>
  <c r="A55" i="2"/>
  <c r="A52" i="2"/>
  <c r="A53" i="2"/>
  <c r="A54" i="2"/>
  <c r="N38" i="1" l="1"/>
  <c r="N17" i="1" l="1"/>
  <c r="N14" i="1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F22" i="2"/>
  <c r="C23" i="2"/>
  <c r="F23" i="2"/>
  <c r="C24" i="2"/>
  <c r="F24" i="2"/>
  <c r="C25" i="2"/>
  <c r="F25" i="2"/>
  <c r="C26" i="2"/>
  <c r="D26" i="2"/>
  <c r="E26" i="2"/>
  <c r="F26" i="2"/>
  <c r="C27" i="2"/>
  <c r="D27" i="2"/>
  <c r="C28" i="2"/>
  <c r="F28" i="2"/>
  <c r="C29" i="2"/>
  <c r="F29" i="2"/>
  <c r="C30" i="2"/>
  <c r="D30" i="2"/>
  <c r="E30" i="2"/>
  <c r="F30" i="2"/>
  <c r="C31" i="2"/>
  <c r="D31" i="2"/>
  <c r="E31" i="2"/>
  <c r="F31" i="2"/>
  <c r="C32" i="2"/>
  <c r="F32" i="2"/>
  <c r="C33" i="2"/>
  <c r="F33" i="2"/>
  <c r="C34" i="2"/>
  <c r="F34" i="2"/>
  <c r="C35" i="2"/>
  <c r="D35" i="2"/>
  <c r="E35" i="2"/>
  <c r="F35" i="2"/>
  <c r="C36" i="2"/>
  <c r="F36" i="2"/>
  <c r="C37" i="2"/>
  <c r="F37" i="2"/>
  <c r="C38" i="2"/>
  <c r="F38" i="2"/>
  <c r="C39" i="2"/>
  <c r="F39" i="2"/>
  <c r="C40" i="2"/>
  <c r="D40" i="2"/>
  <c r="E40" i="2"/>
  <c r="F40" i="2"/>
  <c r="C41" i="2"/>
  <c r="F41" i="2"/>
  <c r="C42" i="2"/>
  <c r="D42" i="2"/>
  <c r="E42" i="2"/>
  <c r="F42" i="2"/>
  <c r="C43" i="2"/>
  <c r="F43" i="2"/>
  <c r="C44" i="2"/>
  <c r="F44" i="2"/>
  <c r="C45" i="2"/>
  <c r="F45" i="2"/>
  <c r="C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D18" i="2"/>
  <c r="E18" i="2"/>
  <c r="F18" i="2"/>
  <c r="C18" i="2"/>
  <c r="A18" i="2"/>
  <c r="L38" i="1" l="1"/>
  <c r="A8" i="2"/>
  <c r="A7" i="2"/>
  <c r="L23" i="1"/>
  <c r="O23" i="1"/>
  <c r="F5" i="2"/>
  <c r="N33" i="1"/>
  <c r="N34" i="1"/>
  <c r="N27" i="1"/>
  <c r="N28" i="1"/>
  <c r="N29" i="1"/>
  <c r="N30" i="1"/>
  <c r="N31" i="1"/>
  <c r="N32" i="1"/>
  <c r="N25" i="1"/>
  <c r="N26" i="1"/>
  <c r="D26" i="1"/>
  <c r="E26" i="1"/>
  <c r="F26" i="1"/>
  <c r="G26" i="1"/>
  <c r="H26" i="1"/>
  <c r="I26" i="1"/>
  <c r="J26" i="1"/>
  <c r="K26" i="1"/>
  <c r="L26" i="1"/>
  <c r="M26" i="1"/>
  <c r="C26" i="1"/>
  <c r="F2" i="2"/>
  <c r="A14" i="2"/>
  <c r="A13" i="2"/>
  <c r="A12" i="2"/>
  <c r="A11" i="2"/>
  <c r="A10" i="2"/>
  <c r="A9" i="2"/>
  <c r="N39" i="1" l="1"/>
  <c r="M38" i="1"/>
  <c r="M34" i="1" l="1"/>
  <c r="M33" i="1"/>
  <c r="M32" i="1"/>
  <c r="M31" i="1"/>
  <c r="M30" i="1"/>
  <c r="M29" i="1"/>
  <c r="M28" i="1"/>
  <c r="M27" i="1"/>
  <c r="M25" i="1"/>
  <c r="M17" i="1"/>
  <c r="M14" i="1"/>
  <c r="M39" i="1" l="1"/>
  <c r="L34" i="1"/>
  <c r="L33" i="1"/>
  <c r="L32" i="1"/>
  <c r="L31" i="1"/>
  <c r="L30" i="1"/>
  <c r="L29" i="1"/>
  <c r="L28" i="1"/>
  <c r="L27" i="1"/>
  <c r="L25" i="1"/>
  <c r="L17" i="1"/>
  <c r="L14" i="1"/>
  <c r="L6" i="1"/>
  <c r="L39" i="1" l="1"/>
  <c r="K38" i="1"/>
  <c r="K34" i="1" l="1"/>
  <c r="K33" i="1"/>
  <c r="K32" i="1"/>
  <c r="K31" i="1"/>
  <c r="K30" i="1"/>
  <c r="K29" i="1"/>
  <c r="K28" i="1"/>
  <c r="K27" i="1"/>
  <c r="K25" i="1"/>
  <c r="K17" i="1"/>
  <c r="K14" i="1"/>
  <c r="H38" i="1"/>
  <c r="J38" i="1"/>
  <c r="K39" i="1" l="1"/>
  <c r="J34" i="1"/>
  <c r="J33" i="1"/>
  <c r="J32" i="1"/>
  <c r="J31" i="1"/>
  <c r="J30" i="1"/>
  <c r="J29" i="1"/>
  <c r="J28" i="1"/>
  <c r="J27" i="1"/>
  <c r="J25" i="1"/>
  <c r="J17" i="1"/>
  <c r="J14" i="1"/>
  <c r="J5" i="1"/>
  <c r="F53" i="1"/>
  <c r="F83" i="1" s="1"/>
  <c r="E53" i="1"/>
  <c r="E27" i="2" s="1"/>
  <c r="F27" i="2" l="1"/>
  <c r="F56" i="2" s="1"/>
  <c r="J39" i="1"/>
  <c r="I38" i="1"/>
  <c r="D30" i="1"/>
  <c r="E30" i="1"/>
  <c r="F30" i="1"/>
  <c r="G30" i="1"/>
  <c r="H30" i="1"/>
  <c r="I30" i="1"/>
  <c r="C30" i="1"/>
  <c r="I34" i="1" l="1"/>
  <c r="O34" i="1" s="1"/>
  <c r="F12" i="2" s="1"/>
  <c r="G38" i="1" l="1"/>
  <c r="D38" i="1"/>
  <c r="C38" i="1"/>
  <c r="I33" i="1" l="1"/>
  <c r="I32" i="1"/>
  <c r="I31" i="1"/>
  <c r="I29" i="1"/>
  <c r="I28" i="1"/>
  <c r="I27" i="1"/>
  <c r="I25" i="1"/>
  <c r="I17" i="1"/>
  <c r="I14" i="1"/>
  <c r="I5" i="1"/>
  <c r="I39" i="1" l="1"/>
  <c r="H33" i="1"/>
  <c r="H32" i="1"/>
  <c r="H31" i="1"/>
  <c r="H29" i="1"/>
  <c r="H28" i="1"/>
  <c r="H27" i="1"/>
  <c r="H25" i="1"/>
  <c r="H17" i="1"/>
  <c r="H14" i="1"/>
  <c r="H5" i="1"/>
  <c r="H39" i="1" l="1"/>
  <c r="D31" i="1"/>
  <c r="E31" i="1"/>
  <c r="F31" i="1"/>
  <c r="G31" i="1"/>
  <c r="D32" i="1"/>
  <c r="E32" i="1"/>
  <c r="F32" i="1"/>
  <c r="G32" i="1"/>
  <c r="D25" i="1"/>
  <c r="E25" i="1"/>
  <c r="F25" i="1"/>
  <c r="G25" i="1"/>
  <c r="D27" i="1"/>
  <c r="E27" i="1"/>
  <c r="F27" i="1"/>
  <c r="G27" i="1"/>
  <c r="D28" i="1"/>
  <c r="E28" i="1"/>
  <c r="F28" i="1"/>
  <c r="G28" i="1"/>
  <c r="D29" i="1"/>
  <c r="E29" i="1"/>
  <c r="F29" i="1"/>
  <c r="G29" i="1"/>
  <c r="C29" i="1"/>
  <c r="O8" i="1" l="1"/>
  <c r="O9" i="1"/>
  <c r="O11" i="1"/>
  <c r="O12" i="1"/>
  <c r="O15" i="1"/>
  <c r="O18" i="1"/>
  <c r="O36" i="1"/>
  <c r="F14" i="2" s="1"/>
  <c r="O37" i="1"/>
  <c r="O5" i="1"/>
  <c r="M13" i="1"/>
  <c r="N13" i="1"/>
  <c r="D7" i="1"/>
  <c r="E7" i="1"/>
  <c r="F7" i="1"/>
  <c r="H7" i="1"/>
  <c r="I7" i="1"/>
  <c r="J7" i="1"/>
  <c r="K7" i="1"/>
  <c r="L7" i="1"/>
  <c r="M7" i="1"/>
  <c r="N7" i="1"/>
  <c r="C7" i="1"/>
  <c r="G33" i="1" l="1"/>
  <c r="G39" i="1" s="1"/>
  <c r="G17" i="1"/>
  <c r="G14" i="1"/>
  <c r="G6" i="1"/>
  <c r="O6" i="1" l="1"/>
  <c r="G7" i="1"/>
  <c r="O7" i="1" s="1"/>
  <c r="E35" i="1"/>
  <c r="O38" i="1"/>
  <c r="D35" i="1"/>
  <c r="O35" i="1" l="1"/>
  <c r="F13" i="2" s="1"/>
  <c r="E33" i="1"/>
  <c r="E39" i="1" s="1"/>
  <c r="F33" i="1"/>
  <c r="F39" i="1" s="1"/>
  <c r="D33" i="1"/>
  <c r="D39" i="1" s="1"/>
  <c r="C33" i="1"/>
  <c r="C32" i="1"/>
  <c r="C31" i="1"/>
  <c r="O29" i="1"/>
  <c r="C28" i="1"/>
  <c r="C27" i="1"/>
  <c r="O27" i="1" s="1"/>
  <c r="C25" i="1"/>
  <c r="C19" i="1"/>
  <c r="E17" i="1"/>
  <c r="F17" i="1"/>
  <c r="C13" i="1"/>
  <c r="C10" i="1"/>
  <c r="E14" i="1"/>
  <c r="F14" i="1"/>
  <c r="C14" i="1"/>
  <c r="C16" i="1" s="1"/>
  <c r="O25" i="1" l="1"/>
  <c r="F7" i="2" s="1"/>
  <c r="C39" i="1"/>
  <c r="O39" i="1" s="1"/>
  <c r="O33" i="1"/>
  <c r="F11" i="2" s="1"/>
  <c r="O26" i="1"/>
  <c r="F8" i="2" s="1"/>
  <c r="O28" i="1"/>
  <c r="O30" i="1"/>
  <c r="O32" i="1"/>
  <c r="F10" i="2" s="1"/>
  <c r="E13" i="1"/>
  <c r="F13" i="1"/>
  <c r="G13" i="1"/>
  <c r="H13" i="1"/>
  <c r="I13" i="1"/>
  <c r="J13" i="1"/>
  <c r="K13" i="1"/>
  <c r="L13" i="1"/>
  <c r="D21" i="1" l="1"/>
  <c r="D40" i="1" s="1"/>
  <c r="D10" i="1"/>
  <c r="E10" i="1"/>
  <c r="F10" i="1"/>
  <c r="G10" i="1"/>
  <c r="H10" i="1"/>
  <c r="I10" i="1"/>
  <c r="J10" i="1"/>
  <c r="K10" i="1"/>
  <c r="L10" i="1"/>
  <c r="M10" i="1"/>
  <c r="N10" i="1"/>
  <c r="I20" i="1"/>
  <c r="J20" i="1"/>
  <c r="K20" i="1"/>
  <c r="L20" i="1"/>
  <c r="M20" i="1"/>
  <c r="N20" i="1"/>
  <c r="I16" i="1"/>
  <c r="J16" i="1"/>
  <c r="K16" i="1"/>
  <c r="L16" i="1"/>
  <c r="M16" i="1"/>
  <c r="N16" i="1"/>
  <c r="H16" i="1"/>
  <c r="E21" i="1"/>
  <c r="E40" i="1" s="1"/>
  <c r="F21" i="1"/>
  <c r="F40" i="1" s="1"/>
  <c r="G21" i="1"/>
  <c r="G40" i="1" s="1"/>
  <c r="H21" i="1"/>
  <c r="H40" i="1" s="1"/>
  <c r="I21" i="1"/>
  <c r="I40" i="1" s="1"/>
  <c r="J21" i="1"/>
  <c r="J40" i="1" s="1"/>
  <c r="K21" i="1"/>
  <c r="K40" i="1" s="1"/>
  <c r="L21" i="1"/>
  <c r="L40" i="1" s="1"/>
  <c r="M21" i="1"/>
  <c r="M40" i="1" s="1"/>
  <c r="N21" i="1"/>
  <c r="N40" i="1" s="1"/>
  <c r="I19" i="1"/>
  <c r="J19" i="1"/>
  <c r="K19" i="1"/>
  <c r="L19" i="1"/>
  <c r="M19" i="1"/>
  <c r="N19" i="1"/>
  <c r="H19" i="1"/>
  <c r="H20" i="1"/>
  <c r="O10" i="1" l="1"/>
  <c r="J22" i="1"/>
  <c r="M22" i="1"/>
  <c r="N22" i="1"/>
  <c r="H22" i="1"/>
  <c r="L22" i="1"/>
  <c r="K22" i="1"/>
  <c r="I22" i="1"/>
  <c r="D17" i="1"/>
  <c r="E19" i="1"/>
  <c r="F19" i="1"/>
  <c r="G19" i="1"/>
  <c r="E16" i="1"/>
  <c r="F16" i="1"/>
  <c r="G16" i="1"/>
  <c r="D14" i="1"/>
  <c r="D16" i="1" l="1"/>
  <c r="O16" i="1" s="1"/>
  <c r="O14" i="1"/>
  <c r="D19" i="1"/>
  <c r="O19" i="1" s="1"/>
  <c r="O17" i="1"/>
  <c r="G20" i="1"/>
  <c r="G22" i="1" s="1"/>
  <c r="F20" i="1" l="1"/>
  <c r="F22" i="1" s="1"/>
  <c r="E20" i="1" l="1"/>
  <c r="D13" i="1"/>
  <c r="O13" i="1" s="1"/>
  <c r="E22" i="1" l="1"/>
  <c r="D20" i="1"/>
  <c r="D22" i="1" s="1"/>
  <c r="O31" i="1" l="1"/>
  <c r="F9" i="2" l="1"/>
  <c r="F15" i="2" s="1"/>
  <c r="C21" i="1"/>
  <c r="C40" i="1" s="1"/>
  <c r="C20" i="1"/>
  <c r="O20" i="1" s="1"/>
  <c r="F3" i="2" s="1"/>
  <c r="F57" i="2" l="1"/>
  <c r="P39" i="1" s="1"/>
  <c r="O21" i="1"/>
  <c r="F4" i="2" s="1"/>
  <c r="C22" i="1"/>
  <c r="O22" i="1" s="1"/>
  <c r="F58" i="2" l="1"/>
  <c r="F59" i="2" s="1"/>
  <c r="O40" i="1"/>
  <c r="N45" i="1" s="1"/>
  <c r="N47" i="1" l="1"/>
</calcChain>
</file>

<file path=xl/sharedStrings.xml><?xml version="1.0" encoding="utf-8"?>
<sst xmlns="http://schemas.openxmlformats.org/spreadsheetml/2006/main" count="185" uniqueCount="120">
  <si>
    <t>Адрес</t>
  </si>
  <si>
    <t>Площадь</t>
  </si>
  <si>
    <t>Тариф 100%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</si>
  <si>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</si>
  <si>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</si>
  <si>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</si>
  <si>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</si>
  <si>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</si>
  <si>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</si>
  <si>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</si>
  <si>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</si>
  <si>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</si>
  <si>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</si>
  <si>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</si>
  <si>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</si>
  <si>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</si>
  <si>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</si>
  <si>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оплачено</t>
  </si>
  <si>
    <t>задолженность (-),
 переплата (+)</t>
  </si>
  <si>
    <t>Начислено</t>
  </si>
  <si>
    <t>начислено</t>
  </si>
  <si>
    <t>Оплачено</t>
  </si>
  <si>
    <t xml:space="preserve">РАСХОДЫ ПО МКД </t>
  </si>
  <si>
    <t>ИТОГО РАСХОДОВ</t>
  </si>
  <si>
    <t>Наименование</t>
  </si>
  <si>
    <t>Месяц</t>
  </si>
  <si>
    <t>ИТОГО</t>
  </si>
  <si>
    <t>ул. Дзержинского 24</t>
  </si>
  <si>
    <t>Сампаев А.Г.</t>
  </si>
  <si>
    <t>НАЧИСЛЕНИЕ 2016 год</t>
  </si>
  <si>
    <t>Текущий ремонт 2016 год</t>
  </si>
  <si>
    <t>Освещение 1п 1эт лампа светодиод</t>
  </si>
  <si>
    <t>январь</t>
  </si>
  <si>
    <t>февраль</t>
  </si>
  <si>
    <t>Изготовление табличек и установка</t>
  </si>
  <si>
    <t>Ед.изм</t>
  </si>
  <si>
    <t>Объем</t>
  </si>
  <si>
    <t>13/7</t>
  </si>
  <si>
    <t>Чернышов В.Н.</t>
  </si>
  <si>
    <t>Кирьянов С.К.</t>
  </si>
  <si>
    <t>в т.ч. 2.2. Содержание внутридомовых инженерных сетей центрального отопления (0,66 руб.с кв.м.)</t>
  </si>
  <si>
    <t>в т.ч. 2.3. Содержание внутридомовых инженерных сетей электроснабжения (0,52 руб.с кв.м.)</t>
  </si>
  <si>
    <t>1. Услуга по управлению (1,38  руб. с м2)</t>
  </si>
  <si>
    <t>3. Услуги по начислению и сбору  платежей (0,64 руб. с м2)</t>
  </si>
  <si>
    <t>4. Санитарное содержание мест общего пользования (2,64 руб. с м2)</t>
  </si>
  <si>
    <t>ФИНАНСОВЫЙ РЕЗУЛЬТАТ</t>
  </si>
  <si>
    <t>Капитальный ремонт</t>
  </si>
  <si>
    <t>Содержание жилья 2015 год</t>
  </si>
  <si>
    <t>Содержание жилья 2016 год</t>
  </si>
  <si>
    <t>Замена ст канализации подвал, офис</t>
  </si>
  <si>
    <t>май</t>
  </si>
  <si>
    <t>Директор ООО "Комфорт"                                                        И.А. Кодряну</t>
  </si>
  <si>
    <t>Содержание жилья</t>
  </si>
  <si>
    <t>Интернет провайдеры (ИП Бабенко, КТС, ИП Яковлев)</t>
  </si>
  <si>
    <t>шт.</t>
  </si>
  <si>
    <t>м.п.</t>
  </si>
  <si>
    <t>в т.ч. 2.1. Содержание внутридомовых инженерных сетей водоснабжения и водоотведения (0.67 руб.с кв.м.)</t>
  </si>
  <si>
    <t>Сумма, руб.</t>
  </si>
  <si>
    <t>5. АВР - диспетчерская служба (1,61 руб.с кв.м)</t>
  </si>
  <si>
    <t>июнь</t>
  </si>
  <si>
    <t>Монтаж муфт для промывки ст отопления</t>
  </si>
  <si>
    <t>Урны (демонтаж) возврат денежных средств</t>
  </si>
  <si>
    <t>6. Паспортный стол (0,20 руб.с кв.м)</t>
  </si>
  <si>
    <t>7. Механизированная уборка придомовой территории (1800 руб/час)</t>
  </si>
  <si>
    <t>8. Очистка кровли от снега и наледи</t>
  </si>
  <si>
    <t>9. Инвентарь</t>
  </si>
  <si>
    <t>10. Текущий ремонт</t>
  </si>
  <si>
    <t>Транспортные расходы (доставка лавочек) Мундыбаш</t>
  </si>
  <si>
    <t>в т.ч. 2.4. Содержание строительных конструкций (0,80 руб.с кв.м.)</t>
  </si>
  <si>
    <t>июль</t>
  </si>
  <si>
    <t>Уборка строительного мусора на кровле</t>
  </si>
  <si>
    <t>Ремонт канализационного лежака 1п, 6п</t>
  </si>
  <si>
    <t>Ремонт мягкой кровли над кв 60(ремонт примыкания)</t>
  </si>
  <si>
    <t>Ремонт козырьков</t>
  </si>
  <si>
    <t>август</t>
  </si>
  <si>
    <t>Прочистка канализации внутренней 1п</t>
  </si>
  <si>
    <t>Прочистка канализации внутренней 2п</t>
  </si>
  <si>
    <t>Ремонт шт-ки стен, окраска откосов</t>
  </si>
  <si>
    <t>сентябрь</t>
  </si>
  <si>
    <t>Укрепление кабеля наружного освещения</t>
  </si>
  <si>
    <t>Демонтаж и монтаж светильника</t>
  </si>
  <si>
    <t>Замена стояка хгвс п/сушителя-полвал/кв.41</t>
  </si>
  <si>
    <t>Уборка мусора (вент. Канал.)</t>
  </si>
  <si>
    <t>Окраска малых форм (дверей)</t>
  </si>
  <si>
    <t>Асфальтирование придомовой территории</t>
  </si>
  <si>
    <t>Планировка территории</t>
  </si>
  <si>
    <t>Замена ст. отопления кв 42/44</t>
  </si>
  <si>
    <t>октябрь</t>
  </si>
  <si>
    <t>Прочистка вентиляции кв 1</t>
  </si>
  <si>
    <t>Замена стояка отопления кв 42/подвал</t>
  </si>
  <si>
    <t>Прочистка вентиляции кв 26</t>
  </si>
  <si>
    <t>Ремонт дверей 5п</t>
  </si>
  <si>
    <t>модернизация теплового узла (ср-ва жителей)</t>
  </si>
  <si>
    <t>Модернизация теплового узла (ср-ва администрации)</t>
  </si>
  <si>
    <t>Замена  ст. отопления кв 36-34</t>
  </si>
  <si>
    <t>Замена стояков отопления кв 46/48/50</t>
  </si>
  <si>
    <t>Установка замков</t>
  </si>
  <si>
    <t>ноябрь</t>
  </si>
  <si>
    <t>Замена стояков хгвс 42/цоколь/подвал</t>
  </si>
  <si>
    <t>ФИНАНСОВЫЙ РЕЗУЛЬТАТ 2016 ГОД</t>
  </si>
  <si>
    <t>Оплачено денежных средств:</t>
  </si>
  <si>
    <t>И Т О Г О:</t>
  </si>
  <si>
    <t>9. Текущий ремонт (наименование работ)</t>
  </si>
  <si>
    <t>Ед. изм.</t>
  </si>
  <si>
    <t>ФИНАНСОВЫЙ РЕЗУЛЬТАТ:</t>
  </si>
  <si>
    <t>2. Техническое обслуживание (2,65 руб. с м2)</t>
  </si>
  <si>
    <t>Выполненные  работы (оказанные услуги) по содержанию и текущему ремонту общего имущества за 2016 год</t>
  </si>
  <si>
    <t>Переходящие остатки денежных средств на конец периода (Финансовый результат 2016 год)</t>
  </si>
  <si>
    <t>Переходящие остатки денежных средств на начало периода (Финансовый результат 2015 год):</t>
  </si>
  <si>
    <t>Прочие поступления денежных средств:</t>
  </si>
  <si>
    <t>Прочие поступления</t>
  </si>
  <si>
    <t>Замена ст хгвс кв 62 1м ст хгвс, канализации
подвал/цоколь 63а/41  13/7 м.п</t>
  </si>
  <si>
    <t>Начислено денежных средств:</t>
  </si>
  <si>
    <t>ВСЕГО РАСХОДОВ:</t>
  </si>
  <si>
    <t>Замена плавких вставок с установкой держателей в щитовой 4п,6п</t>
  </si>
  <si>
    <t>Прочистка вентиляции кв 22</t>
  </si>
  <si>
    <t>декабрь</t>
  </si>
  <si>
    <t>Замена ламп светодиод 3п</t>
  </si>
  <si>
    <t>Установка гирлянды</t>
  </si>
  <si>
    <t>Освещение подъездов 7п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</si>
</sst>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F_-;\-* #,##0\ _F_-;_-* &quot;-&quot;\ _F_-;_-@_-"/>
    <numFmt numFmtId="165" formatCode="_-* #,##0.00\ _F_-;\-* #,##0.00\ _F_-;_-* &quot;-&quot;??\ _F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Helvetica-Narrow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5">
    <xf numFmtId="0" fontId="0" fillId="0" borderId="0"/>
    <xf numFmtId="0" fontId="2" fillId="0" borderId="0">
      <alignment horizontal="center" vertical="center"/>
    </xf>
    <xf numFmtId="0" fontId="4" fillId="0" borderId="0">
      <alignment horizontal="left" vertical="top"/>
    </xf>
    <xf numFmtId="0" fontId="3" fillId="0" borderId="0">
      <alignment horizontal="right" vertical="center"/>
    </xf>
    <xf numFmtId="0" fontId="3" fillId="4" borderId="0">
      <alignment horizontal="right" vertical="center"/>
    </xf>
    <xf numFmtId="0" fontId="4" fillId="0" borderId="0">
      <alignment horizontal="right" vertical="top"/>
    </xf>
    <xf numFmtId="0" fontId="3" fillId="5" borderId="0">
      <alignment horizontal="right" vertical="center"/>
    </xf>
    <xf numFmtId="0" fontId="3" fillId="2" borderId="0">
      <alignment horizontal="right" vertical="center"/>
    </xf>
    <xf numFmtId="0" fontId="3" fillId="2" borderId="0">
      <alignment horizontal="left" vertical="center"/>
    </xf>
    <xf numFmtId="0" fontId="5" fillId="0" borderId="0">
      <alignment horizontal="right" vertical="center"/>
    </xf>
    <xf numFmtId="0" fontId="3" fillId="3" borderId="0">
      <alignment horizontal="center" vertical="center"/>
    </xf>
    <xf numFmtId="0" fontId="3" fillId="6" borderId="0">
      <alignment horizontal="right" vertical="center"/>
    </xf>
    <xf numFmtId="0" fontId="3" fillId="5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4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3" borderId="0">
      <alignment horizontal="center" vertical="center"/>
    </xf>
    <xf numFmtId="0" fontId="3" fillId="6" borderId="0">
      <alignment horizontal="right" vertical="center"/>
    </xf>
    <xf numFmtId="0" fontId="3" fillId="6" borderId="0">
      <alignment horizontal="right" vertical="center"/>
    </xf>
    <xf numFmtId="0" fontId="3" fillId="6" borderId="0">
      <alignment horizontal="right" vertical="center"/>
    </xf>
    <xf numFmtId="0" fontId="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04">
    <xf numFmtId="0" fontId="0" fillId="0" borderId="0" xfId="0"/>
    <xf numFmtId="4" fontId="10" fillId="0" borderId="1" xfId="0" applyNumberFormat="1" applyFont="1" applyBorder="1" applyAlignment="1">
      <alignment horizontal="center" vertical="center" wrapText="1"/>
    </xf>
    <xf numFmtId="4" fontId="7" fillId="7" borderId="1" xfId="22" applyNumberFormat="1" applyFont="1" applyFill="1" applyBorder="1" applyAlignment="1" applyProtection="1">
      <alignment horizontal="left" vertical="center" wrapText="1"/>
    </xf>
    <xf numFmtId="4" fontId="9" fillId="7" borderId="1" xfId="22" applyNumberFormat="1" applyFont="1" applyFill="1" applyBorder="1" applyAlignment="1" applyProtection="1">
      <alignment horizontal="left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9" fillId="7" borderId="1" xfId="0" applyNumberFormat="1" applyFont="1" applyFill="1" applyBorder="1" applyAlignment="1" applyProtection="1">
      <alignment horizontal="center" vertical="center" wrapText="1"/>
    </xf>
    <xf numFmtId="4" fontId="7" fillId="8" borderId="1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2" fillId="7" borderId="1" xfId="0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11" fillId="8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7" fillId="10" borderId="1" xfId="22" applyNumberFormat="1" applyFont="1" applyFill="1" applyBorder="1" applyAlignment="1" applyProtection="1">
      <alignment horizontal="left" vertical="center" wrapText="1"/>
    </xf>
    <xf numFmtId="4" fontId="7" fillId="10" borderId="1" xfId="0" applyNumberFormat="1" applyFont="1" applyFill="1" applyBorder="1" applyAlignment="1" applyProtection="1">
      <alignment horizontal="center" vertical="center" wrapText="1"/>
    </xf>
    <xf numFmtId="4" fontId="11" fillId="10" borderId="0" xfId="0" applyNumberFormat="1" applyFont="1" applyFill="1" applyAlignment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top"/>
    </xf>
    <xf numFmtId="4" fontId="10" fillId="9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7" fillId="9" borderId="1" xfId="22" applyNumberFormat="1" applyFont="1" applyFill="1" applyBorder="1" applyAlignment="1" applyProtection="1">
      <alignment horizontal="left" vertical="center" wrapText="1"/>
    </xf>
    <xf numFmtId="4" fontId="7" fillId="9" borderId="1" xfId="0" applyNumberFormat="1" applyFont="1" applyFill="1" applyBorder="1" applyAlignment="1" applyProtection="1">
      <alignment horizontal="center" vertical="center" wrapText="1"/>
    </xf>
    <xf numFmtId="4" fontId="11" fillId="9" borderId="0" xfId="0" applyNumberFormat="1" applyFont="1" applyFill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1" fillId="0" borderId="5" xfId="0" applyNumberFormat="1" applyFont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7" fillId="7" borderId="5" xfId="22" applyNumberFormat="1" applyFont="1" applyFill="1" applyBorder="1" applyAlignment="1" applyProtection="1">
      <alignment horizontal="center" vertical="center" wrapText="1"/>
    </xf>
    <xf numFmtId="4" fontId="7" fillId="7" borderId="7" xfId="22" applyNumberFormat="1" applyFont="1" applyFill="1" applyBorder="1" applyAlignment="1" applyProtection="1">
      <alignment horizontal="center" vertical="center" wrapText="1"/>
    </xf>
    <xf numFmtId="4" fontId="7" fillId="7" borderId="6" xfId="22" applyNumberFormat="1" applyFont="1" applyFill="1" applyBorder="1" applyAlignment="1" applyProtection="1">
      <alignment horizontal="center" vertical="center" wrapText="1"/>
    </xf>
    <xf numFmtId="4" fontId="7" fillId="8" borderId="5" xfId="22" applyNumberFormat="1" applyFont="1" applyFill="1" applyBorder="1" applyAlignment="1" applyProtection="1">
      <alignment horizontal="left" vertical="center" wrapText="1"/>
    </xf>
    <xf numFmtId="4" fontId="7" fillId="8" borderId="6" xfId="22" applyNumberFormat="1" applyFont="1" applyFill="1" applyBorder="1" applyAlignment="1" applyProtection="1">
      <alignment horizontal="left" vertical="center" wrapText="1"/>
    </xf>
    <xf numFmtId="4" fontId="11" fillId="0" borderId="5" xfId="0" applyNumberFormat="1" applyFont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left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4" fontId="7" fillId="10" borderId="5" xfId="22" applyNumberFormat="1" applyFont="1" applyFill="1" applyBorder="1" applyAlignment="1" applyProtection="1">
      <alignment horizontal="left" vertical="center" wrapText="1"/>
    </xf>
    <xf numFmtId="4" fontId="7" fillId="10" borderId="6" xfId="22" applyNumberFormat="1" applyFont="1" applyFill="1" applyBorder="1" applyAlignment="1" applyProtection="1">
      <alignment horizontal="left" vertical="center" wrapText="1"/>
    </xf>
    <xf numFmtId="4" fontId="7" fillId="7" borderId="5" xfId="22" applyNumberFormat="1" applyFont="1" applyFill="1" applyBorder="1" applyAlignment="1" applyProtection="1">
      <alignment horizontal="left" vertical="center" wrapText="1"/>
    </xf>
    <xf numFmtId="4" fontId="7" fillId="7" borderId="6" xfId="22" applyNumberFormat="1" applyFont="1" applyFill="1" applyBorder="1" applyAlignment="1" applyProtection="1">
      <alignment horizontal="left" vertical="center" wrapText="1"/>
    </xf>
    <xf numFmtId="4" fontId="15" fillId="0" borderId="5" xfId="0" applyNumberFormat="1" applyFont="1" applyBorder="1" applyAlignment="1">
      <alignment horizontal="left" vertical="center" wrapText="1"/>
    </xf>
    <xf numFmtId="4" fontId="15" fillId="0" borderId="6" xfId="0" applyNumberFormat="1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5" xfId="0" applyNumberFormat="1" applyFont="1" applyBorder="1" applyAlignment="1">
      <alignment horizontal="left" vertical="center" wrapText="1"/>
    </xf>
    <xf numFmtId="4" fontId="10" fillId="0" borderId="7" xfId="0" applyNumberFormat="1" applyFont="1" applyBorder="1" applyAlignment="1">
      <alignment horizontal="left" vertical="center" wrapText="1"/>
    </xf>
    <xf numFmtId="4" fontId="10" fillId="0" borderId="6" xfId="0" applyNumberFormat="1" applyFont="1" applyBorder="1" applyAlignment="1">
      <alignment horizontal="left" vertical="center" wrapText="1"/>
    </xf>
    <xf numFmtId="4" fontId="10" fillId="9" borderId="5" xfId="0" applyNumberFormat="1" applyFont="1" applyFill="1" applyBorder="1" applyAlignment="1">
      <alignment vertical="center" wrapText="1"/>
    </xf>
    <xf numFmtId="4" fontId="10" fillId="9" borderId="7" xfId="0" applyNumberFormat="1" applyFont="1" applyFill="1" applyBorder="1" applyAlignment="1">
      <alignment vertical="center" wrapText="1"/>
    </xf>
    <xf numFmtId="4" fontId="10" fillId="9" borderId="6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vertical="center" wrapText="1"/>
    </xf>
    <xf numFmtId="4" fontId="11" fillId="0" borderId="6" xfId="0" applyNumberFormat="1" applyFont="1" applyBorder="1" applyAlignment="1">
      <alignment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7" fillId="7" borderId="1" xfId="22" applyNumberFormat="1" applyFont="1" applyFill="1" applyBorder="1" applyAlignment="1" applyProtection="1">
      <alignment horizontal="center" vertical="center" wrapText="1"/>
    </xf>
    <xf numFmtId="4" fontId="7" fillId="7" borderId="2" xfId="22" applyNumberFormat="1" applyFont="1" applyFill="1" applyBorder="1" applyAlignment="1" applyProtection="1">
      <alignment horizontal="center" vertical="center" wrapText="1"/>
    </xf>
    <xf numFmtId="4" fontId="7" fillId="7" borderId="3" xfId="22" applyNumberFormat="1" applyFont="1" applyFill="1" applyBorder="1" applyAlignment="1" applyProtection="1">
      <alignment horizontal="center" vertical="center" wrapText="1"/>
    </xf>
    <xf numFmtId="4" fontId="7" fillId="7" borderId="4" xfId="22" applyNumberFormat="1" applyFont="1" applyFill="1" applyBorder="1" applyAlignment="1" applyProtection="1">
      <alignment horizontal="center" vertical="center" wrapText="1"/>
    </xf>
    <xf numFmtId="4" fontId="7" fillId="7" borderId="1" xfId="22" applyNumberFormat="1" applyFont="1" applyFill="1" applyBorder="1" applyAlignment="1" applyProtection="1">
      <alignment horizontal="left" vertical="center" wrapText="1"/>
    </xf>
    <xf numFmtId="4" fontId="12" fillId="7" borderId="5" xfId="22" applyNumberFormat="1" applyFont="1" applyFill="1" applyBorder="1" applyAlignment="1" applyProtection="1">
      <alignment horizontal="left" vertical="center" wrapText="1"/>
    </xf>
    <xf numFmtId="4" fontId="12" fillId="7" borderId="6" xfId="22" applyNumberFormat="1" applyFont="1" applyFill="1" applyBorder="1" applyAlignment="1" applyProtection="1">
      <alignment horizontal="left" vertical="center" wrapText="1"/>
    </xf>
    <xf numFmtId="4" fontId="7" fillId="7" borderId="10" xfId="22" applyNumberFormat="1" applyFont="1" applyFill="1" applyBorder="1" applyAlignment="1" applyProtection="1">
      <alignment horizontal="center" vertical="center" wrapText="1"/>
    </xf>
    <xf numFmtId="4" fontId="7" fillId="7" borderId="11" xfId="22" applyNumberFormat="1" applyFont="1" applyFill="1" applyBorder="1" applyAlignment="1" applyProtection="1">
      <alignment horizontal="center" vertical="center" wrapText="1"/>
    </xf>
    <xf numFmtId="4" fontId="7" fillId="7" borderId="9" xfId="22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top" wrapText="1"/>
    </xf>
  </cellXfs>
  <cellStyles count="25">
    <cellStyle name="S0" xfId="1"/>
    <cellStyle name="S1" xfId="2"/>
    <cellStyle name="S11" xfId="3"/>
    <cellStyle name="S12" xfId="4"/>
    <cellStyle name="S13" xfId="5"/>
    <cellStyle name="S14" xfId="6"/>
    <cellStyle name="S15" xfId="7"/>
    <cellStyle name="S16" xfId="8"/>
    <cellStyle name="S17" xfId="9"/>
    <cellStyle name="S18" xfId="10"/>
    <cellStyle name="S19" xfId="11"/>
    <cellStyle name="S2" xfId="12"/>
    <cellStyle name="S20" xfId="13"/>
    <cellStyle name="S21" xfId="14"/>
    <cellStyle name="S3" xfId="15"/>
    <cellStyle name="S4" xfId="16"/>
    <cellStyle name="S5" xfId="17"/>
    <cellStyle name="S6" xfId="18"/>
    <cellStyle name="S7" xfId="19"/>
    <cellStyle name="S8" xfId="20"/>
    <cellStyle name="S9" xfId="21"/>
    <cellStyle name="Обычный" xfId="0" builtinId="0"/>
    <cellStyle name="Обычный 2" xfId="22"/>
    <cellStyle name="Тысячи [0]_Example " xfId="23"/>
    <cellStyle name="Тысячи_Example 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0;&#1073;&#1080;&#1083;&#1077;&#1081;&#1085;&#1072;&#1103;%2011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год"/>
      <sheetName val="Лист1"/>
    </sheetNames>
    <sheetDataSet>
      <sheetData sheetId="0">
        <row r="14">
          <cell r="O14">
            <v>799752.43</v>
          </cell>
        </row>
        <row r="26">
          <cell r="A26" t="str">
            <v>3. Услуги по начислению и сбору платежей (0,64 руб.с кв.м)</v>
          </cell>
        </row>
        <row r="27">
          <cell r="A27" t="str">
            <v>4. Санитарное содержание мест общего пользования (2,64 руб.с кв.м)</v>
          </cell>
        </row>
        <row r="28">
          <cell r="A28" t="str">
            <v>5. АВР - диспетчерская служба (1,61 руб.с кв.м)</v>
          </cell>
          <cell r="B28">
            <v>0</v>
          </cell>
        </row>
        <row r="29">
          <cell r="A29" t="str">
            <v>6. Паспортный стол (0,20 руб.с кв.м)</v>
          </cell>
          <cell r="B29">
            <v>0</v>
          </cell>
        </row>
        <row r="30">
          <cell r="A30" t="str">
            <v>7. Механизированная уборка придомовой территории (1800 руб/час)</v>
          </cell>
          <cell r="B30">
            <v>0</v>
          </cell>
        </row>
        <row r="31">
          <cell r="A31" t="str">
            <v>8. Очистка кровли</v>
          </cell>
          <cell r="B3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view="pageBreakPreview" zoomScale="80" zoomScaleNormal="100" zoomScaleSheetLayoutView="80" workbookViewId="0">
      <pane ySplit="1" topLeftCell="A74" activePane="bottomLeft" state="frozen"/>
      <selection pane="bottomLeft" activeCell="F65" sqref="F65"/>
    </sheetView>
  </sheetViews>
  <sheetFormatPr defaultColWidth="9.140625" defaultRowHeight="15.75"/>
  <cols>
    <col min="1" max="1" width="17.42578125" style="9" customWidth="1"/>
    <col min="2" max="2" width="21.5703125" style="9" customWidth="1"/>
    <col min="3" max="3" width="12" style="9" customWidth="1"/>
    <col min="4" max="6" width="12" style="23" customWidth="1"/>
    <col min="7" max="13" width="12" style="9" customWidth="1"/>
    <col min="14" max="14" width="14.28515625" style="9" customWidth="1"/>
    <col min="15" max="15" width="12.42578125" style="9" customWidth="1"/>
    <col min="16" max="16" width="12.140625" style="9" bestFit="1" customWidth="1"/>
    <col min="17" max="16384" width="9.140625" style="9"/>
  </cols>
  <sheetData>
    <row r="1" spans="1:15">
      <c r="A1" s="91" t="s">
        <v>29</v>
      </c>
      <c r="B1" s="91"/>
      <c r="C1" s="4" t="s">
        <v>4</v>
      </c>
      <c r="D1" s="26" t="s">
        <v>5</v>
      </c>
      <c r="E1" s="26" t="s">
        <v>6</v>
      </c>
      <c r="F1" s="26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90" t="s">
        <v>16</v>
      </c>
    </row>
    <row r="2" spans="1:15">
      <c r="A2" s="91" t="s">
        <v>0</v>
      </c>
      <c r="B2" s="91"/>
      <c r="C2" s="90" t="s">
        <v>27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>
      <c r="A3" s="91" t="s">
        <v>1</v>
      </c>
      <c r="B3" s="91"/>
      <c r="C3" s="5">
        <v>3957</v>
      </c>
      <c r="D3" s="5">
        <v>3957</v>
      </c>
      <c r="E3" s="5">
        <v>3957</v>
      </c>
      <c r="F3" s="5">
        <v>3957</v>
      </c>
      <c r="G3" s="5">
        <v>3957</v>
      </c>
      <c r="H3" s="5">
        <v>3957</v>
      </c>
      <c r="I3" s="5">
        <v>3957</v>
      </c>
      <c r="J3" s="5">
        <v>3957</v>
      </c>
      <c r="K3" s="5">
        <v>3957</v>
      </c>
      <c r="L3" s="5">
        <v>3957</v>
      </c>
      <c r="M3" s="5">
        <v>3957</v>
      </c>
      <c r="N3" s="5">
        <v>3957</v>
      </c>
      <c r="O3" s="6"/>
    </row>
    <row r="4" spans="1:15">
      <c r="A4" s="91" t="s">
        <v>2</v>
      </c>
      <c r="B4" s="91"/>
      <c r="C4" s="5">
        <v>13.65</v>
      </c>
      <c r="D4" s="5">
        <v>13.65</v>
      </c>
      <c r="E4" s="5">
        <v>13.65</v>
      </c>
      <c r="F4" s="5">
        <v>13.65</v>
      </c>
      <c r="G4" s="5">
        <v>13.65</v>
      </c>
      <c r="H4" s="5">
        <v>13.65</v>
      </c>
      <c r="I4" s="5">
        <v>13.65</v>
      </c>
      <c r="J4" s="5">
        <v>13.65</v>
      </c>
      <c r="K4" s="5">
        <v>13.65</v>
      </c>
      <c r="L4" s="5">
        <v>13.65</v>
      </c>
      <c r="M4" s="5">
        <v>13.65</v>
      </c>
      <c r="N4" s="5">
        <v>13.65</v>
      </c>
      <c r="O4" s="6"/>
    </row>
    <row r="5" spans="1:15" ht="15.75" customHeight="1">
      <c r="A5" s="92" t="s">
        <v>52</v>
      </c>
      <c r="B5" s="3" t="s">
        <v>20</v>
      </c>
      <c r="C5" s="6">
        <v>53969.54</v>
      </c>
      <c r="D5" s="26">
        <v>53969.54</v>
      </c>
      <c r="E5" s="26">
        <v>53969.54</v>
      </c>
      <c r="F5" s="26">
        <v>53969.54</v>
      </c>
      <c r="G5" s="6">
        <v>53969.54</v>
      </c>
      <c r="H5" s="6">
        <f>273+63360.19</f>
        <v>63633.19</v>
      </c>
      <c r="I5" s="6">
        <f>273+63360.19</f>
        <v>63633.19</v>
      </c>
      <c r="J5" s="6">
        <f>273+63360.19</f>
        <v>63633.19</v>
      </c>
      <c r="K5" s="6">
        <v>63360.18</v>
      </c>
      <c r="L5" s="6">
        <v>63360.18</v>
      </c>
      <c r="M5" s="6">
        <v>63360.18</v>
      </c>
      <c r="N5" s="6">
        <v>63360.18</v>
      </c>
      <c r="O5" s="4">
        <f>SUM(C5:N5)</f>
        <v>714187.99000000011</v>
      </c>
    </row>
    <row r="6" spans="1:15">
      <c r="A6" s="93"/>
      <c r="B6" s="3" t="s">
        <v>17</v>
      </c>
      <c r="C6" s="6">
        <v>47021.4</v>
      </c>
      <c r="D6" s="26">
        <v>64502.92</v>
      </c>
      <c r="E6" s="26">
        <v>52933.69</v>
      </c>
      <c r="F6" s="26">
        <v>49856.22</v>
      </c>
      <c r="G6" s="6">
        <f>273+46362.85</f>
        <v>46635.85</v>
      </c>
      <c r="H6" s="6">
        <v>40607.71</v>
      </c>
      <c r="I6" s="6">
        <v>50376.69</v>
      </c>
      <c r="J6" s="6">
        <v>173779.25</v>
      </c>
      <c r="K6" s="6">
        <v>56495.65</v>
      </c>
      <c r="L6" s="6">
        <f>273+53764.21</f>
        <v>54037.21</v>
      </c>
      <c r="M6" s="6">
        <v>69394.98</v>
      </c>
      <c r="N6" s="6">
        <v>77541.64</v>
      </c>
      <c r="O6" s="4">
        <f t="shared" ref="O6:O40" si="0">SUM(C6:N6)</f>
        <v>783183.21</v>
      </c>
    </row>
    <row r="7" spans="1:15" s="18" customFormat="1" ht="31.5">
      <c r="A7" s="94"/>
      <c r="B7" s="16" t="s">
        <v>18</v>
      </c>
      <c r="C7" s="17">
        <f>C5-C6</f>
        <v>6948.1399999999994</v>
      </c>
      <c r="D7" s="17">
        <f t="shared" ref="D7:N7" si="1">D5-D6</f>
        <v>-10533.379999999997</v>
      </c>
      <c r="E7" s="17">
        <f t="shared" si="1"/>
        <v>1035.8499999999985</v>
      </c>
      <c r="F7" s="17">
        <f t="shared" si="1"/>
        <v>4113.32</v>
      </c>
      <c r="G7" s="17">
        <f t="shared" si="1"/>
        <v>7333.6900000000023</v>
      </c>
      <c r="H7" s="17">
        <f t="shared" si="1"/>
        <v>23025.480000000003</v>
      </c>
      <c r="I7" s="17">
        <f t="shared" si="1"/>
        <v>13256.5</v>
      </c>
      <c r="J7" s="17">
        <f t="shared" si="1"/>
        <v>-110146.06</v>
      </c>
      <c r="K7" s="17">
        <f t="shared" si="1"/>
        <v>6864.5299999999988</v>
      </c>
      <c r="L7" s="17">
        <f t="shared" si="1"/>
        <v>9322.9700000000012</v>
      </c>
      <c r="M7" s="17">
        <f t="shared" si="1"/>
        <v>-6034.7999999999956</v>
      </c>
      <c r="N7" s="17">
        <f t="shared" si="1"/>
        <v>-14181.46</v>
      </c>
      <c r="O7" s="17">
        <f t="shared" si="0"/>
        <v>-68995.219999999987</v>
      </c>
    </row>
    <row r="8" spans="1:15">
      <c r="A8" s="92" t="s">
        <v>39</v>
      </c>
      <c r="B8" s="3" t="s">
        <v>20</v>
      </c>
      <c r="C8" s="6">
        <v>1317.23</v>
      </c>
      <c r="D8" s="26">
        <v>1317.23</v>
      </c>
      <c r="E8" s="26">
        <v>1317.23</v>
      </c>
      <c r="F8" s="26">
        <v>1317.23</v>
      </c>
      <c r="G8" s="6">
        <v>1317.23</v>
      </c>
      <c r="H8" s="6">
        <v>1317.23</v>
      </c>
      <c r="I8" s="6">
        <v>1317.23</v>
      </c>
      <c r="J8" s="6">
        <v>1317.23</v>
      </c>
      <c r="K8" s="6">
        <v>1317.23</v>
      </c>
      <c r="L8" s="6">
        <v>1317.23</v>
      </c>
      <c r="M8" s="6">
        <v>1317.23</v>
      </c>
      <c r="N8" s="6">
        <v>1317.23</v>
      </c>
      <c r="O8" s="4">
        <f t="shared" si="0"/>
        <v>15806.759999999997</v>
      </c>
    </row>
    <row r="9" spans="1:15">
      <c r="A9" s="93"/>
      <c r="B9" s="3" t="s">
        <v>17</v>
      </c>
      <c r="C9" s="6"/>
      <c r="D9" s="26">
        <v>1270</v>
      </c>
      <c r="E9" s="26">
        <v>1500</v>
      </c>
      <c r="F9" s="26">
        <v>5000</v>
      </c>
      <c r="G9" s="6"/>
      <c r="H9" s="6"/>
      <c r="I9" s="6"/>
      <c r="J9" s="6"/>
      <c r="K9" s="6">
        <v>5000</v>
      </c>
      <c r="L9" s="6"/>
      <c r="M9" s="6"/>
      <c r="N9" s="6">
        <v>1000</v>
      </c>
      <c r="O9" s="4">
        <f t="shared" si="0"/>
        <v>13770</v>
      </c>
    </row>
    <row r="10" spans="1:15" s="18" customFormat="1" ht="31.5">
      <c r="A10" s="94"/>
      <c r="B10" s="16" t="s">
        <v>18</v>
      </c>
      <c r="C10" s="17">
        <f>C9-C8</f>
        <v>-1317.23</v>
      </c>
      <c r="D10" s="17">
        <f t="shared" ref="D10:N10" si="2">D9-D8</f>
        <v>-47.230000000000018</v>
      </c>
      <c r="E10" s="17">
        <f t="shared" si="2"/>
        <v>182.76999999999998</v>
      </c>
      <c r="F10" s="17">
        <f t="shared" si="2"/>
        <v>3682.77</v>
      </c>
      <c r="G10" s="17">
        <f t="shared" si="2"/>
        <v>-1317.23</v>
      </c>
      <c r="H10" s="17">
        <f t="shared" si="2"/>
        <v>-1317.23</v>
      </c>
      <c r="I10" s="17">
        <f t="shared" si="2"/>
        <v>-1317.23</v>
      </c>
      <c r="J10" s="17">
        <f t="shared" si="2"/>
        <v>-1317.23</v>
      </c>
      <c r="K10" s="17">
        <f t="shared" si="2"/>
        <v>3682.77</v>
      </c>
      <c r="L10" s="17">
        <f t="shared" si="2"/>
        <v>-1317.23</v>
      </c>
      <c r="M10" s="17">
        <f t="shared" si="2"/>
        <v>-1317.23</v>
      </c>
      <c r="N10" s="17">
        <f t="shared" si="2"/>
        <v>-317.23</v>
      </c>
      <c r="O10" s="17">
        <f t="shared" si="0"/>
        <v>-2036.7600000000002</v>
      </c>
    </row>
    <row r="11" spans="1:15">
      <c r="A11" s="92" t="s">
        <v>38</v>
      </c>
      <c r="B11" s="3" t="s">
        <v>20</v>
      </c>
      <c r="C11" s="6">
        <v>5701.61</v>
      </c>
      <c r="D11" s="26">
        <v>5701.61</v>
      </c>
      <c r="E11" s="26">
        <v>5701.61</v>
      </c>
      <c r="F11" s="26">
        <v>5701.61</v>
      </c>
      <c r="G11" s="6">
        <v>5701.61</v>
      </c>
      <c r="H11" s="6">
        <v>5701.61</v>
      </c>
      <c r="I11" s="6">
        <v>5701.61</v>
      </c>
      <c r="J11" s="6">
        <v>5701.61</v>
      </c>
      <c r="K11" s="6">
        <v>5701.61</v>
      </c>
      <c r="L11" s="6">
        <v>5701.61</v>
      </c>
      <c r="M11" s="6">
        <v>5701.61</v>
      </c>
      <c r="N11" s="6">
        <v>5701.61</v>
      </c>
      <c r="O11" s="4">
        <f t="shared" si="0"/>
        <v>68419.319999999992</v>
      </c>
    </row>
    <row r="12" spans="1:15">
      <c r="A12" s="93"/>
      <c r="B12" s="3" t="s">
        <v>17</v>
      </c>
      <c r="C12" s="6"/>
      <c r="D12" s="26"/>
      <c r="E12" s="26"/>
      <c r="F12" s="26"/>
      <c r="G12" s="6">
        <v>25000</v>
      </c>
      <c r="H12" s="6">
        <v>25000</v>
      </c>
      <c r="I12" s="6">
        <v>25000</v>
      </c>
      <c r="J12" s="6">
        <v>25000</v>
      </c>
      <c r="K12" s="6">
        <v>5701.61</v>
      </c>
      <c r="L12" s="6">
        <v>5701.61</v>
      </c>
      <c r="M12" s="6">
        <v>5701.61</v>
      </c>
      <c r="N12" s="6">
        <v>5701.61</v>
      </c>
      <c r="O12" s="4">
        <f t="shared" si="0"/>
        <v>122806.44</v>
      </c>
    </row>
    <row r="13" spans="1:15" s="18" customFormat="1" ht="31.5">
      <c r="A13" s="94"/>
      <c r="B13" s="16" t="s">
        <v>18</v>
      </c>
      <c r="C13" s="17">
        <f>C12-C11</f>
        <v>-5701.61</v>
      </c>
      <c r="D13" s="17">
        <f>D12-D11</f>
        <v>-5701.61</v>
      </c>
      <c r="E13" s="17">
        <f t="shared" ref="E13:N13" si="3">E12-E11</f>
        <v>-5701.61</v>
      </c>
      <c r="F13" s="17">
        <f t="shared" si="3"/>
        <v>-5701.61</v>
      </c>
      <c r="G13" s="17">
        <f t="shared" si="3"/>
        <v>19298.39</v>
      </c>
      <c r="H13" s="17">
        <f t="shared" si="3"/>
        <v>19298.39</v>
      </c>
      <c r="I13" s="17">
        <f t="shared" si="3"/>
        <v>19298.39</v>
      </c>
      <c r="J13" s="17">
        <f t="shared" si="3"/>
        <v>19298.39</v>
      </c>
      <c r="K13" s="17">
        <f t="shared" si="3"/>
        <v>0</v>
      </c>
      <c r="L13" s="17">
        <f t="shared" si="3"/>
        <v>0</v>
      </c>
      <c r="M13" s="17">
        <f t="shared" si="3"/>
        <v>0</v>
      </c>
      <c r="N13" s="17">
        <f t="shared" si="3"/>
        <v>0</v>
      </c>
      <c r="O13" s="17">
        <f t="shared" si="0"/>
        <v>54387.119999999995</v>
      </c>
    </row>
    <row r="14" spans="1:15">
      <c r="A14" s="92" t="s">
        <v>28</v>
      </c>
      <c r="B14" s="3" t="s">
        <v>20</v>
      </c>
      <c r="C14" s="6">
        <f>92.8*13.65</f>
        <v>1266.72</v>
      </c>
      <c r="D14" s="26">
        <f>92.8*13.65</f>
        <v>1266.72</v>
      </c>
      <c r="E14" s="26">
        <f t="shared" ref="E14:N14" si="4">92.8*13.65</f>
        <v>1266.72</v>
      </c>
      <c r="F14" s="26">
        <f t="shared" si="4"/>
        <v>1266.72</v>
      </c>
      <c r="G14" s="6">
        <f t="shared" si="4"/>
        <v>1266.72</v>
      </c>
      <c r="H14" s="6">
        <f t="shared" si="4"/>
        <v>1266.72</v>
      </c>
      <c r="I14" s="6">
        <f t="shared" si="4"/>
        <v>1266.72</v>
      </c>
      <c r="J14" s="6">
        <f t="shared" si="4"/>
        <v>1266.72</v>
      </c>
      <c r="K14" s="6">
        <f t="shared" si="4"/>
        <v>1266.72</v>
      </c>
      <c r="L14" s="6">
        <f t="shared" si="4"/>
        <v>1266.72</v>
      </c>
      <c r="M14" s="6">
        <f t="shared" si="4"/>
        <v>1266.72</v>
      </c>
      <c r="N14" s="6">
        <f t="shared" si="4"/>
        <v>1266.72</v>
      </c>
      <c r="O14" s="4">
        <f t="shared" si="0"/>
        <v>15200.639999999998</v>
      </c>
    </row>
    <row r="15" spans="1:15">
      <c r="A15" s="93"/>
      <c r="B15" s="3" t="s">
        <v>17</v>
      </c>
      <c r="C15" s="6"/>
      <c r="D15" s="26"/>
      <c r="E15" s="26"/>
      <c r="F15" s="26">
        <v>7575.21</v>
      </c>
      <c r="G15" s="6"/>
      <c r="H15" s="6"/>
      <c r="I15" s="6"/>
      <c r="J15" s="6"/>
      <c r="K15" s="6"/>
      <c r="L15" s="6"/>
      <c r="M15" s="6"/>
      <c r="N15" s="6"/>
      <c r="O15" s="4">
        <f t="shared" si="0"/>
        <v>7575.21</v>
      </c>
    </row>
    <row r="16" spans="1:15" s="18" customFormat="1" ht="31.5">
      <c r="A16" s="94"/>
      <c r="B16" s="16" t="s">
        <v>18</v>
      </c>
      <c r="C16" s="17">
        <f>C15-C14</f>
        <v>-1266.72</v>
      </c>
      <c r="D16" s="17">
        <f>D15-D14</f>
        <v>-1266.72</v>
      </c>
      <c r="E16" s="17">
        <f t="shared" ref="E16:N16" si="5">E15-E14</f>
        <v>-1266.72</v>
      </c>
      <c r="F16" s="17">
        <f t="shared" si="5"/>
        <v>6308.49</v>
      </c>
      <c r="G16" s="17">
        <f t="shared" si="5"/>
        <v>-1266.72</v>
      </c>
      <c r="H16" s="17">
        <f t="shared" si="5"/>
        <v>-1266.72</v>
      </c>
      <c r="I16" s="17">
        <f t="shared" si="5"/>
        <v>-1266.72</v>
      </c>
      <c r="J16" s="17">
        <f t="shared" si="5"/>
        <v>-1266.72</v>
      </c>
      <c r="K16" s="17">
        <f t="shared" si="5"/>
        <v>-1266.72</v>
      </c>
      <c r="L16" s="17">
        <f t="shared" si="5"/>
        <v>-1266.72</v>
      </c>
      <c r="M16" s="17">
        <f t="shared" si="5"/>
        <v>-1266.72</v>
      </c>
      <c r="N16" s="17">
        <f t="shared" si="5"/>
        <v>-1266.72</v>
      </c>
      <c r="O16" s="17">
        <f t="shared" si="0"/>
        <v>-7625.4300000000012</v>
      </c>
    </row>
    <row r="17" spans="1:15" ht="15.75" customHeight="1">
      <c r="A17" s="92" t="s">
        <v>53</v>
      </c>
      <c r="B17" s="3" t="s">
        <v>20</v>
      </c>
      <c r="C17" s="6">
        <v>337.5</v>
      </c>
      <c r="D17" s="26">
        <f>450-(450*0.25)</f>
        <v>337.5</v>
      </c>
      <c r="E17" s="26">
        <f t="shared" ref="E17:N17" si="6">450-(450*0.25)</f>
        <v>337.5</v>
      </c>
      <c r="F17" s="26">
        <f t="shared" si="6"/>
        <v>337.5</v>
      </c>
      <c r="G17" s="6">
        <f t="shared" si="6"/>
        <v>337.5</v>
      </c>
      <c r="H17" s="6">
        <f t="shared" si="6"/>
        <v>337.5</v>
      </c>
      <c r="I17" s="6">
        <f t="shared" si="6"/>
        <v>337.5</v>
      </c>
      <c r="J17" s="6">
        <f t="shared" si="6"/>
        <v>337.5</v>
      </c>
      <c r="K17" s="6">
        <f t="shared" si="6"/>
        <v>337.5</v>
      </c>
      <c r="L17" s="6">
        <f t="shared" si="6"/>
        <v>337.5</v>
      </c>
      <c r="M17" s="6">
        <f t="shared" si="6"/>
        <v>337.5</v>
      </c>
      <c r="N17" s="6">
        <f t="shared" si="6"/>
        <v>337.5</v>
      </c>
      <c r="O17" s="4">
        <f t="shared" si="0"/>
        <v>4050</v>
      </c>
    </row>
    <row r="18" spans="1:15">
      <c r="A18" s="93"/>
      <c r="B18" s="3" t="s">
        <v>17</v>
      </c>
      <c r="C18" s="6">
        <v>337.5</v>
      </c>
      <c r="D18" s="26">
        <v>337.5</v>
      </c>
      <c r="E18" s="26">
        <v>337.5</v>
      </c>
      <c r="F18" s="26">
        <v>337.5</v>
      </c>
      <c r="G18" s="6">
        <v>337.5</v>
      </c>
      <c r="H18" s="6">
        <v>337.5</v>
      </c>
      <c r="I18" s="6">
        <v>337.5</v>
      </c>
      <c r="J18" s="6">
        <v>337.5</v>
      </c>
      <c r="K18" s="6">
        <v>337.5</v>
      </c>
      <c r="L18" s="6">
        <v>337.5</v>
      </c>
      <c r="M18" s="6">
        <v>337.5</v>
      </c>
      <c r="N18" s="6">
        <v>337.5</v>
      </c>
      <c r="O18" s="4">
        <f t="shared" si="0"/>
        <v>4050</v>
      </c>
    </row>
    <row r="19" spans="1:15" s="18" customFormat="1" ht="31.5">
      <c r="A19" s="94"/>
      <c r="B19" s="16" t="s">
        <v>18</v>
      </c>
      <c r="C19" s="17">
        <f>C18-C17</f>
        <v>0</v>
      </c>
      <c r="D19" s="17">
        <f>D18-D17</f>
        <v>0</v>
      </c>
      <c r="E19" s="17">
        <f t="shared" ref="E19:N19" si="7">E18-E17</f>
        <v>0</v>
      </c>
      <c r="F19" s="17">
        <f t="shared" si="7"/>
        <v>0</v>
      </c>
      <c r="G19" s="17">
        <f t="shared" si="7"/>
        <v>0</v>
      </c>
      <c r="H19" s="17">
        <f t="shared" si="7"/>
        <v>0</v>
      </c>
      <c r="I19" s="17">
        <f t="shared" si="7"/>
        <v>0</v>
      </c>
      <c r="J19" s="17">
        <f t="shared" si="7"/>
        <v>0</v>
      </c>
      <c r="K19" s="17">
        <f t="shared" si="7"/>
        <v>0</v>
      </c>
      <c r="L19" s="17">
        <f t="shared" si="7"/>
        <v>0</v>
      </c>
      <c r="M19" s="17">
        <f t="shared" si="7"/>
        <v>0</v>
      </c>
      <c r="N19" s="17">
        <f t="shared" si="7"/>
        <v>0</v>
      </c>
      <c r="O19" s="17">
        <f t="shared" si="0"/>
        <v>0</v>
      </c>
    </row>
    <row r="20" spans="1:15">
      <c r="A20" s="98" t="s">
        <v>3</v>
      </c>
      <c r="B20" s="2" t="s">
        <v>19</v>
      </c>
      <c r="C20" s="4">
        <f>C5+C8</f>
        <v>55286.770000000004</v>
      </c>
      <c r="D20" s="26">
        <f>D5+D8+D11+D17+D14</f>
        <v>62592.600000000006</v>
      </c>
      <c r="E20" s="26">
        <f t="shared" ref="E20:N20" si="8">E5+E8+E11+E17+E14</f>
        <v>62592.600000000006</v>
      </c>
      <c r="F20" s="26">
        <f t="shared" si="8"/>
        <v>62592.600000000006</v>
      </c>
      <c r="G20" s="4">
        <f t="shared" si="8"/>
        <v>62592.600000000006</v>
      </c>
      <c r="H20" s="4">
        <f t="shared" si="8"/>
        <v>72256.25</v>
      </c>
      <c r="I20" s="4">
        <f t="shared" si="8"/>
        <v>72256.25</v>
      </c>
      <c r="J20" s="4">
        <f t="shared" si="8"/>
        <v>72256.25</v>
      </c>
      <c r="K20" s="4">
        <f t="shared" si="8"/>
        <v>71983.240000000005</v>
      </c>
      <c r="L20" s="4">
        <f t="shared" si="8"/>
        <v>71983.240000000005</v>
      </c>
      <c r="M20" s="4">
        <f t="shared" si="8"/>
        <v>71983.240000000005</v>
      </c>
      <c r="N20" s="4">
        <f t="shared" si="8"/>
        <v>71983.240000000005</v>
      </c>
      <c r="O20" s="4">
        <f t="shared" si="0"/>
        <v>810358.88</v>
      </c>
    </row>
    <row r="21" spans="1:15">
      <c r="A21" s="99"/>
      <c r="B21" s="2" t="s">
        <v>21</v>
      </c>
      <c r="C21" s="4">
        <f>C6+C9</f>
        <v>47021.4</v>
      </c>
      <c r="D21" s="26">
        <f>D6+D9+D12+D18+D15</f>
        <v>66110.42</v>
      </c>
      <c r="E21" s="26">
        <f t="shared" ref="E21:N21" si="9">E6+E9+E12+E18+E15</f>
        <v>54771.19</v>
      </c>
      <c r="F21" s="26">
        <f t="shared" si="9"/>
        <v>62768.93</v>
      </c>
      <c r="G21" s="4">
        <f t="shared" si="9"/>
        <v>71973.350000000006</v>
      </c>
      <c r="H21" s="4">
        <f t="shared" si="9"/>
        <v>65945.209999999992</v>
      </c>
      <c r="I21" s="4">
        <f t="shared" si="9"/>
        <v>75714.19</v>
      </c>
      <c r="J21" s="4">
        <f t="shared" si="9"/>
        <v>199116.75</v>
      </c>
      <c r="K21" s="4">
        <f t="shared" si="9"/>
        <v>67534.759999999995</v>
      </c>
      <c r="L21" s="4">
        <f t="shared" si="9"/>
        <v>60076.32</v>
      </c>
      <c r="M21" s="4">
        <f t="shared" si="9"/>
        <v>75434.09</v>
      </c>
      <c r="N21" s="4">
        <f t="shared" si="9"/>
        <v>84580.75</v>
      </c>
      <c r="O21" s="4">
        <f t="shared" si="0"/>
        <v>931047.35999999987</v>
      </c>
    </row>
    <row r="22" spans="1:15" s="18" customFormat="1" ht="31.5">
      <c r="A22" s="99"/>
      <c r="B22" s="16" t="s">
        <v>18</v>
      </c>
      <c r="C22" s="17">
        <f>C7+C10</f>
        <v>5630.91</v>
      </c>
      <c r="D22" s="17">
        <f>D21-D20</f>
        <v>3517.8199999999924</v>
      </c>
      <c r="E22" s="17">
        <f t="shared" ref="E22:N22" si="10">E21-E20</f>
        <v>-7821.4100000000035</v>
      </c>
      <c r="F22" s="17">
        <f t="shared" si="10"/>
        <v>176.32999999999447</v>
      </c>
      <c r="G22" s="17">
        <f t="shared" si="10"/>
        <v>9380.75</v>
      </c>
      <c r="H22" s="17">
        <f t="shared" si="10"/>
        <v>-6311.0400000000081</v>
      </c>
      <c r="I22" s="17">
        <f t="shared" si="10"/>
        <v>3457.9400000000023</v>
      </c>
      <c r="J22" s="17">
        <f t="shared" si="10"/>
        <v>126860.5</v>
      </c>
      <c r="K22" s="17">
        <f t="shared" si="10"/>
        <v>-4448.4800000000105</v>
      </c>
      <c r="L22" s="17">
        <f t="shared" si="10"/>
        <v>-11906.920000000006</v>
      </c>
      <c r="M22" s="17">
        <f t="shared" si="10"/>
        <v>3450.8499999999913</v>
      </c>
      <c r="N22" s="17">
        <f t="shared" si="10"/>
        <v>12597.509999999995</v>
      </c>
      <c r="O22" s="17">
        <f t="shared" si="0"/>
        <v>134584.75999999995</v>
      </c>
    </row>
    <row r="23" spans="1:15" s="51" customFormat="1" ht="31.5">
      <c r="A23" s="100"/>
      <c r="B23" s="49" t="s">
        <v>110</v>
      </c>
      <c r="C23" s="50"/>
      <c r="D23" s="50"/>
      <c r="E23" s="50"/>
      <c r="F23" s="50"/>
      <c r="G23" s="50"/>
      <c r="H23" s="50"/>
      <c r="I23" s="50"/>
      <c r="J23" s="50"/>
      <c r="K23" s="50"/>
      <c r="L23" s="50">
        <f>F72</f>
        <v>123460</v>
      </c>
      <c r="M23" s="50"/>
      <c r="N23" s="50"/>
      <c r="O23" s="50">
        <f t="shared" si="0"/>
        <v>123460</v>
      </c>
    </row>
    <row r="24" spans="1:15">
      <c r="A24" s="61" t="s">
        <v>22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4"/>
    </row>
    <row r="25" spans="1:15" ht="33" customHeight="1">
      <c r="A25" s="71" t="s">
        <v>42</v>
      </c>
      <c r="B25" s="72"/>
      <c r="C25" s="4">
        <f>1.38*C3</f>
        <v>5460.66</v>
      </c>
      <c r="D25" s="26">
        <f t="shared" ref="D25:M25" si="11">1.38*D3</f>
        <v>5460.66</v>
      </c>
      <c r="E25" s="26">
        <f t="shared" si="11"/>
        <v>5460.66</v>
      </c>
      <c r="F25" s="26">
        <f t="shared" si="11"/>
        <v>5460.66</v>
      </c>
      <c r="G25" s="4">
        <f t="shared" si="11"/>
        <v>5460.66</v>
      </c>
      <c r="H25" s="4">
        <f t="shared" si="11"/>
        <v>5460.66</v>
      </c>
      <c r="I25" s="14">
        <f t="shared" si="11"/>
        <v>5460.66</v>
      </c>
      <c r="J25" s="27">
        <f t="shared" si="11"/>
        <v>5460.66</v>
      </c>
      <c r="K25" s="28">
        <f t="shared" si="11"/>
        <v>5460.66</v>
      </c>
      <c r="L25" s="29">
        <f t="shared" si="11"/>
        <v>5460.66</v>
      </c>
      <c r="M25" s="36">
        <f t="shared" si="11"/>
        <v>5460.66</v>
      </c>
      <c r="N25" s="40">
        <f t="shared" ref="N25" si="12">1.38*N3</f>
        <v>5460.66</v>
      </c>
      <c r="O25" s="4">
        <f>SUM(C25:N25)</f>
        <v>65527.920000000013</v>
      </c>
    </row>
    <row r="26" spans="1:15" ht="33" customHeight="1">
      <c r="A26" s="71" t="s">
        <v>105</v>
      </c>
      <c r="B26" s="72"/>
      <c r="C26" s="4">
        <f>2.65*C3</f>
        <v>10486.05</v>
      </c>
      <c r="D26" s="40">
        <f t="shared" ref="D26:M26" si="13">2.65*D3</f>
        <v>10486.05</v>
      </c>
      <c r="E26" s="40">
        <f t="shared" si="13"/>
        <v>10486.05</v>
      </c>
      <c r="F26" s="40">
        <f t="shared" si="13"/>
        <v>10486.05</v>
      </c>
      <c r="G26" s="40">
        <f t="shared" si="13"/>
        <v>10486.05</v>
      </c>
      <c r="H26" s="40">
        <f t="shared" si="13"/>
        <v>10486.05</v>
      </c>
      <c r="I26" s="40">
        <f t="shared" si="13"/>
        <v>10486.05</v>
      </c>
      <c r="J26" s="40">
        <f t="shared" si="13"/>
        <v>10486.05</v>
      </c>
      <c r="K26" s="40">
        <f t="shared" si="13"/>
        <v>10486.05</v>
      </c>
      <c r="L26" s="40">
        <f t="shared" si="13"/>
        <v>10486.05</v>
      </c>
      <c r="M26" s="40">
        <f t="shared" si="13"/>
        <v>10486.05</v>
      </c>
      <c r="N26" s="40">
        <f t="shared" ref="N26" si="14">2.65*N3</f>
        <v>10486.05</v>
      </c>
      <c r="O26" s="4">
        <f t="shared" si="0"/>
        <v>125832.60000000002</v>
      </c>
    </row>
    <row r="27" spans="1:15" s="11" customFormat="1" ht="48.2" customHeight="1">
      <c r="A27" s="96" t="s">
        <v>56</v>
      </c>
      <c r="B27" s="97"/>
      <c r="C27" s="10">
        <f>0.67*C3</f>
        <v>2651.19</v>
      </c>
      <c r="D27" s="10">
        <f t="shared" ref="D27:M27" si="15">0.67*D3</f>
        <v>2651.19</v>
      </c>
      <c r="E27" s="10">
        <f t="shared" si="15"/>
        <v>2651.19</v>
      </c>
      <c r="F27" s="10">
        <f t="shared" si="15"/>
        <v>2651.19</v>
      </c>
      <c r="G27" s="10">
        <f t="shared" si="15"/>
        <v>2651.19</v>
      </c>
      <c r="H27" s="10">
        <f t="shared" si="15"/>
        <v>2651.19</v>
      </c>
      <c r="I27" s="10">
        <f t="shared" si="15"/>
        <v>2651.19</v>
      </c>
      <c r="J27" s="10">
        <f t="shared" si="15"/>
        <v>2651.19</v>
      </c>
      <c r="K27" s="10">
        <f t="shared" si="15"/>
        <v>2651.19</v>
      </c>
      <c r="L27" s="10">
        <f t="shared" si="15"/>
        <v>2651.19</v>
      </c>
      <c r="M27" s="10">
        <f t="shared" si="15"/>
        <v>2651.19</v>
      </c>
      <c r="N27" s="10">
        <f t="shared" ref="N27" si="16">0.67*N3</f>
        <v>2651.19</v>
      </c>
      <c r="O27" s="10">
        <f t="shared" si="0"/>
        <v>31814.279999999995</v>
      </c>
    </row>
    <row r="28" spans="1:15" s="11" customFormat="1" ht="48.2" customHeight="1">
      <c r="A28" s="96" t="s">
        <v>40</v>
      </c>
      <c r="B28" s="97"/>
      <c r="C28" s="10">
        <f>0.66*C3</f>
        <v>2611.6200000000003</v>
      </c>
      <c r="D28" s="10">
        <f t="shared" ref="D28:M28" si="17">0.66*D3</f>
        <v>2611.6200000000003</v>
      </c>
      <c r="E28" s="10">
        <f t="shared" si="17"/>
        <v>2611.6200000000003</v>
      </c>
      <c r="F28" s="10">
        <f t="shared" si="17"/>
        <v>2611.6200000000003</v>
      </c>
      <c r="G28" s="10">
        <f t="shared" si="17"/>
        <v>2611.6200000000003</v>
      </c>
      <c r="H28" s="10">
        <f t="shared" si="17"/>
        <v>2611.6200000000003</v>
      </c>
      <c r="I28" s="10">
        <f t="shared" si="17"/>
        <v>2611.6200000000003</v>
      </c>
      <c r="J28" s="10">
        <f t="shared" si="17"/>
        <v>2611.6200000000003</v>
      </c>
      <c r="K28" s="10">
        <f t="shared" si="17"/>
        <v>2611.6200000000003</v>
      </c>
      <c r="L28" s="10">
        <f t="shared" si="17"/>
        <v>2611.6200000000003</v>
      </c>
      <c r="M28" s="10">
        <f t="shared" si="17"/>
        <v>2611.6200000000003</v>
      </c>
      <c r="N28" s="10">
        <f t="shared" ref="N28" si="18">0.66*N3</f>
        <v>2611.6200000000003</v>
      </c>
      <c r="O28" s="10">
        <f t="shared" si="0"/>
        <v>31339.439999999999</v>
      </c>
    </row>
    <row r="29" spans="1:15" s="11" customFormat="1" ht="48.2" customHeight="1">
      <c r="A29" s="96" t="s">
        <v>41</v>
      </c>
      <c r="B29" s="97"/>
      <c r="C29" s="10">
        <f>0.52*C3</f>
        <v>2057.64</v>
      </c>
      <c r="D29" s="10">
        <f t="shared" ref="D29:M29" si="19">0.52*D3</f>
        <v>2057.64</v>
      </c>
      <c r="E29" s="10">
        <f t="shared" si="19"/>
        <v>2057.64</v>
      </c>
      <c r="F29" s="10">
        <f t="shared" si="19"/>
        <v>2057.64</v>
      </c>
      <c r="G29" s="10">
        <f t="shared" si="19"/>
        <v>2057.64</v>
      </c>
      <c r="H29" s="10">
        <f t="shared" si="19"/>
        <v>2057.64</v>
      </c>
      <c r="I29" s="10">
        <f t="shared" si="19"/>
        <v>2057.64</v>
      </c>
      <c r="J29" s="10">
        <f t="shared" si="19"/>
        <v>2057.64</v>
      </c>
      <c r="K29" s="10">
        <f t="shared" si="19"/>
        <v>2057.64</v>
      </c>
      <c r="L29" s="10">
        <f t="shared" si="19"/>
        <v>2057.64</v>
      </c>
      <c r="M29" s="10">
        <f t="shared" si="19"/>
        <v>2057.64</v>
      </c>
      <c r="N29" s="10">
        <f t="shared" ref="N29" si="20">0.52*N3</f>
        <v>2057.64</v>
      </c>
      <c r="O29" s="10">
        <f t="shared" si="0"/>
        <v>24691.679999999997</v>
      </c>
    </row>
    <row r="30" spans="1:15" s="11" customFormat="1" ht="33" customHeight="1">
      <c r="A30" s="96" t="s">
        <v>68</v>
      </c>
      <c r="B30" s="97"/>
      <c r="C30" s="10">
        <f>0.8*C3</f>
        <v>3165.6000000000004</v>
      </c>
      <c r="D30" s="10">
        <f t="shared" ref="D30:M30" si="21">0.8*D3</f>
        <v>3165.6000000000004</v>
      </c>
      <c r="E30" s="10">
        <f t="shared" si="21"/>
        <v>3165.6000000000004</v>
      </c>
      <c r="F30" s="10">
        <f t="shared" si="21"/>
        <v>3165.6000000000004</v>
      </c>
      <c r="G30" s="10">
        <f t="shared" si="21"/>
        <v>3165.6000000000004</v>
      </c>
      <c r="H30" s="10">
        <f t="shared" si="21"/>
        <v>3165.6000000000004</v>
      </c>
      <c r="I30" s="10">
        <f t="shared" si="21"/>
        <v>3165.6000000000004</v>
      </c>
      <c r="J30" s="10">
        <f t="shared" si="21"/>
        <v>3165.6000000000004</v>
      </c>
      <c r="K30" s="10">
        <f t="shared" si="21"/>
        <v>3165.6000000000004</v>
      </c>
      <c r="L30" s="10">
        <f t="shared" si="21"/>
        <v>3165.6000000000004</v>
      </c>
      <c r="M30" s="10">
        <f t="shared" si="21"/>
        <v>3165.6000000000004</v>
      </c>
      <c r="N30" s="10">
        <f t="shared" ref="N30" si="22">0.8*N3</f>
        <v>3165.6000000000004</v>
      </c>
      <c r="O30" s="10">
        <f t="shared" si="0"/>
        <v>37987.199999999997</v>
      </c>
    </row>
    <row r="31" spans="1:15" ht="33" customHeight="1">
      <c r="A31" s="71" t="s">
        <v>43</v>
      </c>
      <c r="B31" s="72"/>
      <c r="C31" s="40">
        <f>0.64*C3</f>
        <v>2532.48</v>
      </c>
      <c r="D31" s="40">
        <f t="shared" ref="D31:M31" si="23">0.64*D3</f>
        <v>2532.48</v>
      </c>
      <c r="E31" s="40">
        <f t="shared" si="23"/>
        <v>2532.48</v>
      </c>
      <c r="F31" s="40">
        <f t="shared" si="23"/>
        <v>2532.48</v>
      </c>
      <c r="G31" s="40">
        <f t="shared" si="23"/>
        <v>2532.48</v>
      </c>
      <c r="H31" s="40">
        <f t="shared" si="23"/>
        <v>2532.48</v>
      </c>
      <c r="I31" s="40">
        <f t="shared" si="23"/>
        <v>2532.48</v>
      </c>
      <c r="J31" s="40">
        <f t="shared" si="23"/>
        <v>2532.48</v>
      </c>
      <c r="K31" s="40">
        <f t="shared" si="23"/>
        <v>2532.48</v>
      </c>
      <c r="L31" s="40">
        <f t="shared" si="23"/>
        <v>2532.48</v>
      </c>
      <c r="M31" s="40">
        <f t="shared" si="23"/>
        <v>2532.48</v>
      </c>
      <c r="N31" s="40">
        <f t="shared" ref="N31" si="24">0.64*N3</f>
        <v>2532.48</v>
      </c>
      <c r="O31" s="4">
        <f t="shared" si="0"/>
        <v>30389.759999999998</v>
      </c>
    </row>
    <row r="32" spans="1:15" ht="33" customHeight="1">
      <c r="A32" s="95" t="s">
        <v>44</v>
      </c>
      <c r="B32" s="95"/>
      <c r="C32" s="4">
        <f>2.64*C3</f>
        <v>10446.480000000001</v>
      </c>
      <c r="D32" s="26">
        <f t="shared" ref="D32:M32" si="25">2.64*D3</f>
        <v>10446.480000000001</v>
      </c>
      <c r="E32" s="26">
        <f t="shared" si="25"/>
        <v>10446.480000000001</v>
      </c>
      <c r="F32" s="26">
        <f t="shared" si="25"/>
        <v>10446.480000000001</v>
      </c>
      <c r="G32" s="4">
        <f t="shared" si="25"/>
        <v>10446.480000000001</v>
      </c>
      <c r="H32" s="4">
        <f t="shared" si="25"/>
        <v>10446.480000000001</v>
      </c>
      <c r="I32" s="14">
        <f t="shared" si="25"/>
        <v>10446.480000000001</v>
      </c>
      <c r="J32" s="27">
        <f t="shared" si="25"/>
        <v>10446.480000000001</v>
      </c>
      <c r="K32" s="28">
        <f t="shared" si="25"/>
        <v>10446.480000000001</v>
      </c>
      <c r="L32" s="29">
        <f t="shared" si="25"/>
        <v>10446.480000000001</v>
      </c>
      <c r="M32" s="36">
        <f t="shared" si="25"/>
        <v>10446.480000000001</v>
      </c>
      <c r="N32" s="40">
        <f t="shared" ref="N32" si="26">2.64*N3</f>
        <v>10446.480000000001</v>
      </c>
      <c r="O32" s="4">
        <f t="shared" si="0"/>
        <v>125357.75999999999</v>
      </c>
    </row>
    <row r="33" spans="1:16" ht="33" customHeight="1">
      <c r="A33" s="71" t="s">
        <v>58</v>
      </c>
      <c r="B33" s="72"/>
      <c r="C33" s="4">
        <f t="shared" ref="C33:M33" si="27">1.61*C3</f>
        <v>6370.77</v>
      </c>
      <c r="D33" s="26">
        <f t="shared" si="27"/>
        <v>6370.77</v>
      </c>
      <c r="E33" s="26">
        <f t="shared" si="27"/>
        <v>6370.77</v>
      </c>
      <c r="F33" s="26">
        <f t="shared" si="27"/>
        <v>6370.77</v>
      </c>
      <c r="G33" s="4">
        <f t="shared" si="27"/>
        <v>6370.77</v>
      </c>
      <c r="H33" s="4">
        <f t="shared" si="27"/>
        <v>6370.77</v>
      </c>
      <c r="I33" s="14">
        <f t="shared" si="27"/>
        <v>6370.77</v>
      </c>
      <c r="J33" s="27">
        <f t="shared" si="27"/>
        <v>6370.77</v>
      </c>
      <c r="K33" s="28">
        <f t="shared" si="27"/>
        <v>6370.77</v>
      </c>
      <c r="L33" s="29">
        <f t="shared" si="27"/>
        <v>6370.77</v>
      </c>
      <c r="M33" s="36">
        <f t="shared" si="27"/>
        <v>6370.77</v>
      </c>
      <c r="N33" s="40">
        <f t="shared" ref="N33" si="28">1.61*N3</f>
        <v>6370.77</v>
      </c>
      <c r="O33" s="4">
        <f>SUM(C33:N33)</f>
        <v>76449.24000000002</v>
      </c>
    </row>
    <row r="34" spans="1:16" s="20" customFormat="1">
      <c r="A34" s="71" t="s">
        <v>62</v>
      </c>
      <c r="B34" s="72"/>
      <c r="C34" s="19"/>
      <c r="D34" s="26"/>
      <c r="E34" s="26"/>
      <c r="F34" s="26"/>
      <c r="G34" s="19"/>
      <c r="H34" s="19"/>
      <c r="I34" s="19">
        <f t="shared" ref="I34:N34" si="29">0.2*I3</f>
        <v>791.40000000000009</v>
      </c>
      <c r="J34" s="27">
        <f t="shared" si="29"/>
        <v>791.40000000000009</v>
      </c>
      <c r="K34" s="28">
        <f t="shared" si="29"/>
        <v>791.40000000000009</v>
      </c>
      <c r="L34" s="29">
        <f t="shared" si="29"/>
        <v>791.40000000000009</v>
      </c>
      <c r="M34" s="36">
        <f t="shared" si="29"/>
        <v>791.40000000000009</v>
      </c>
      <c r="N34" s="40">
        <f t="shared" si="29"/>
        <v>791.40000000000009</v>
      </c>
      <c r="O34" s="22">
        <f>SUM(C34:N34)</f>
        <v>4748.4000000000005</v>
      </c>
    </row>
    <row r="35" spans="1:16" ht="48.2" customHeight="1">
      <c r="A35" s="95" t="s">
        <v>63</v>
      </c>
      <c r="B35" s="95"/>
      <c r="C35" s="19"/>
      <c r="D35" s="26">
        <f>1649.7+1466.4</f>
        <v>3116.1000000000004</v>
      </c>
      <c r="E35" s="26">
        <f>549.9+549.9+1466.4</f>
        <v>2566.1999999999998</v>
      </c>
      <c r="F35" s="26"/>
      <c r="G35" s="19"/>
      <c r="H35" s="19"/>
      <c r="I35" s="6"/>
      <c r="J35" s="6"/>
      <c r="K35" s="6"/>
      <c r="L35" s="44">
        <v>875</v>
      </c>
      <c r="M35" s="44">
        <v>4025</v>
      </c>
      <c r="N35" s="44">
        <v>4725</v>
      </c>
      <c r="O35" s="4">
        <f t="shared" si="0"/>
        <v>15307.3</v>
      </c>
    </row>
    <row r="36" spans="1:16">
      <c r="A36" s="71" t="s">
        <v>64</v>
      </c>
      <c r="B36" s="72"/>
      <c r="C36" s="19"/>
      <c r="D36" s="26">
        <v>1200</v>
      </c>
      <c r="E36" s="26"/>
      <c r="F36" s="26"/>
      <c r="G36" s="19"/>
      <c r="H36" s="19"/>
      <c r="I36" s="6"/>
      <c r="J36" s="6"/>
      <c r="K36" s="6"/>
      <c r="L36" s="44"/>
      <c r="M36" s="44"/>
      <c r="N36" s="44">
        <v>350</v>
      </c>
      <c r="O36" s="4">
        <f t="shared" si="0"/>
        <v>1550</v>
      </c>
    </row>
    <row r="37" spans="1:16">
      <c r="A37" s="71" t="s">
        <v>65</v>
      </c>
      <c r="B37" s="72"/>
      <c r="C37" s="19"/>
      <c r="D37" s="26"/>
      <c r="E37" s="26"/>
      <c r="F37" s="26"/>
      <c r="G37" s="19"/>
      <c r="H37" s="19"/>
      <c r="I37" s="6"/>
      <c r="J37" s="6"/>
      <c r="K37" s="6"/>
      <c r="L37" s="44"/>
      <c r="M37" s="44"/>
      <c r="N37" s="44"/>
      <c r="O37" s="4">
        <f t="shared" si="0"/>
        <v>0</v>
      </c>
    </row>
    <row r="38" spans="1:16" s="23" customFormat="1">
      <c r="A38" s="71" t="s">
        <v>66</v>
      </c>
      <c r="B38" s="72"/>
      <c r="C38" s="26">
        <f>F44</f>
        <v>150.85</v>
      </c>
      <c r="D38" s="26">
        <f>F45+F46</f>
        <v>9364.5400000000009</v>
      </c>
      <c r="E38" s="26"/>
      <c r="F38" s="26"/>
      <c r="G38" s="26">
        <f>F47</f>
        <v>2425.83</v>
      </c>
      <c r="H38" s="26">
        <f>F48+F49+F50</f>
        <v>7106.9500000000007</v>
      </c>
      <c r="I38" s="26">
        <f>F51+F52+F53</f>
        <v>13949.099999999999</v>
      </c>
      <c r="J38" s="26">
        <f>F54+F55+F56+F57</f>
        <v>81390.17</v>
      </c>
      <c r="K38" s="26">
        <f>F58+F59+F60+F61+F62+F63+F64+F65</f>
        <v>117585.73000000001</v>
      </c>
      <c r="L38" s="26">
        <f>F66+F67+F68+F69+F70+F71+F73+F74+F72</f>
        <v>221760.1</v>
      </c>
      <c r="M38" s="26">
        <f>F75+F76+F77</f>
        <v>6173.65</v>
      </c>
      <c r="N38" s="26">
        <f>F78+F79+F80+F81</f>
        <v>10904.16</v>
      </c>
      <c r="O38" s="26">
        <f t="shared" si="0"/>
        <v>470811.08</v>
      </c>
    </row>
    <row r="39" spans="1:16" s="12" customFormat="1">
      <c r="A39" s="64" t="s">
        <v>23</v>
      </c>
      <c r="B39" s="65"/>
      <c r="C39" s="7">
        <f>SUM(C25:C38)-C26</f>
        <v>35447.289999999994</v>
      </c>
      <c r="D39" s="7">
        <f t="shared" ref="D39:N39" si="30">SUM(D25:D38)-D26</f>
        <v>48977.079999999987</v>
      </c>
      <c r="E39" s="7">
        <f t="shared" si="30"/>
        <v>37862.639999999985</v>
      </c>
      <c r="F39" s="7">
        <f t="shared" si="30"/>
        <v>35296.439999999988</v>
      </c>
      <c r="G39" s="7">
        <f t="shared" si="30"/>
        <v>37722.26999999999</v>
      </c>
      <c r="H39" s="7">
        <f t="shared" si="30"/>
        <v>42403.389999999985</v>
      </c>
      <c r="I39" s="7">
        <f t="shared" si="30"/>
        <v>50036.939999999988</v>
      </c>
      <c r="J39" s="7">
        <f t="shared" si="30"/>
        <v>117478.01</v>
      </c>
      <c r="K39" s="7">
        <f t="shared" si="30"/>
        <v>153673.57</v>
      </c>
      <c r="L39" s="7">
        <f t="shared" si="30"/>
        <v>258722.94</v>
      </c>
      <c r="M39" s="7">
        <f t="shared" si="30"/>
        <v>46286.489999999991</v>
      </c>
      <c r="N39" s="7">
        <f t="shared" si="30"/>
        <v>52066.999999999985</v>
      </c>
      <c r="O39" s="7">
        <f t="shared" si="0"/>
        <v>915974.05999999982</v>
      </c>
      <c r="P39" s="12">
        <f>O39-Лист1!F57</f>
        <v>0</v>
      </c>
    </row>
    <row r="40" spans="1:16" s="18" customFormat="1">
      <c r="A40" s="69" t="s">
        <v>45</v>
      </c>
      <c r="B40" s="70"/>
      <c r="C40" s="17">
        <f>C21+C23-C39</f>
        <v>11574.110000000008</v>
      </c>
      <c r="D40" s="17">
        <f t="shared" ref="D40:N40" si="31">D21+D23-D39</f>
        <v>17133.340000000011</v>
      </c>
      <c r="E40" s="17">
        <f t="shared" si="31"/>
        <v>16908.550000000017</v>
      </c>
      <c r="F40" s="17">
        <f t="shared" si="31"/>
        <v>27472.490000000013</v>
      </c>
      <c r="G40" s="17">
        <f t="shared" si="31"/>
        <v>34251.080000000016</v>
      </c>
      <c r="H40" s="17">
        <f t="shared" si="31"/>
        <v>23541.820000000007</v>
      </c>
      <c r="I40" s="17">
        <f t="shared" si="31"/>
        <v>25677.250000000015</v>
      </c>
      <c r="J40" s="17">
        <f t="shared" si="31"/>
        <v>81638.740000000005</v>
      </c>
      <c r="K40" s="17">
        <f t="shared" si="31"/>
        <v>-86138.810000000012</v>
      </c>
      <c r="L40" s="17">
        <f t="shared" si="31"/>
        <v>-75186.62</v>
      </c>
      <c r="M40" s="17">
        <f t="shared" si="31"/>
        <v>29147.600000000006</v>
      </c>
      <c r="N40" s="17">
        <f t="shared" si="31"/>
        <v>32513.750000000015</v>
      </c>
      <c r="O40" s="17">
        <f t="shared" si="0"/>
        <v>138533.3000000001</v>
      </c>
    </row>
    <row r="42" spans="1:16" ht="15.75" customHeight="1">
      <c r="A42" s="68" t="s">
        <v>30</v>
      </c>
      <c r="B42" s="68"/>
      <c r="C42" s="68"/>
      <c r="D42" s="68"/>
      <c r="E42" s="68"/>
      <c r="F42" s="68"/>
    </row>
    <row r="43" spans="1:16" ht="31.5">
      <c r="A43" s="76" t="s">
        <v>24</v>
      </c>
      <c r="B43" s="77"/>
      <c r="C43" s="1" t="s">
        <v>25</v>
      </c>
      <c r="D43" s="25" t="s">
        <v>35</v>
      </c>
      <c r="E43" s="25" t="s">
        <v>36</v>
      </c>
      <c r="F43" s="25" t="s">
        <v>57</v>
      </c>
      <c r="I43" s="76" t="s">
        <v>45</v>
      </c>
      <c r="J43" s="87"/>
      <c r="K43" s="87"/>
      <c r="L43" s="87"/>
      <c r="M43" s="87"/>
      <c r="N43" s="77"/>
    </row>
    <row r="44" spans="1:16">
      <c r="A44" s="66" t="s">
        <v>31</v>
      </c>
      <c r="B44" s="67"/>
      <c r="C44" s="8" t="s">
        <v>32</v>
      </c>
      <c r="D44" s="24" t="s">
        <v>54</v>
      </c>
      <c r="E44" s="25">
        <v>1</v>
      </c>
      <c r="F44" s="25">
        <v>150.85</v>
      </c>
      <c r="I44" s="80" t="s">
        <v>47</v>
      </c>
      <c r="J44" s="81"/>
      <c r="K44" s="81"/>
      <c r="L44" s="81"/>
      <c r="M44" s="82"/>
      <c r="N44" s="15">
        <v>-133894.91</v>
      </c>
    </row>
    <row r="45" spans="1:16" ht="45.75" customHeight="1">
      <c r="A45" s="66" t="s">
        <v>111</v>
      </c>
      <c r="B45" s="67"/>
      <c r="C45" s="8" t="s">
        <v>33</v>
      </c>
      <c r="D45" s="24" t="s">
        <v>55</v>
      </c>
      <c r="E45" s="25" t="s">
        <v>37</v>
      </c>
      <c r="F45" s="25">
        <v>8641.5400000000009</v>
      </c>
      <c r="I45" s="80" t="s">
        <v>48</v>
      </c>
      <c r="J45" s="81"/>
      <c r="K45" s="81"/>
      <c r="L45" s="81"/>
      <c r="M45" s="82"/>
      <c r="N45" s="15">
        <f>O40</f>
        <v>138533.3000000001</v>
      </c>
    </row>
    <row r="46" spans="1:16">
      <c r="A46" s="66" t="s">
        <v>34</v>
      </c>
      <c r="B46" s="67"/>
      <c r="C46" s="8" t="s">
        <v>33</v>
      </c>
      <c r="D46" s="24" t="s">
        <v>54</v>
      </c>
      <c r="E46" s="25">
        <v>1</v>
      </c>
      <c r="F46" s="25">
        <v>723</v>
      </c>
      <c r="G46" s="13"/>
      <c r="I46" s="83" t="s">
        <v>46</v>
      </c>
      <c r="J46" s="84"/>
      <c r="K46" s="84"/>
      <c r="L46" s="84"/>
      <c r="M46" s="85"/>
      <c r="N46" s="15"/>
    </row>
    <row r="47" spans="1:16" ht="15.75" customHeight="1">
      <c r="A47" s="66" t="s">
        <v>49</v>
      </c>
      <c r="B47" s="67"/>
      <c r="C47" s="8" t="s">
        <v>50</v>
      </c>
      <c r="D47" s="24" t="s">
        <v>55</v>
      </c>
      <c r="E47" s="25">
        <v>5.5</v>
      </c>
      <c r="F47" s="25">
        <v>2425.83</v>
      </c>
      <c r="I47" s="86" t="s">
        <v>26</v>
      </c>
      <c r="J47" s="86"/>
      <c r="K47" s="86"/>
      <c r="L47" s="86"/>
      <c r="M47" s="86"/>
      <c r="N47" s="15">
        <f>N44+N45</f>
        <v>4638.3900000001013</v>
      </c>
    </row>
    <row r="48" spans="1:16" ht="32.25" customHeight="1">
      <c r="A48" s="66" t="s">
        <v>67</v>
      </c>
      <c r="B48" s="67"/>
      <c r="C48" s="8" t="s">
        <v>59</v>
      </c>
      <c r="D48" s="24"/>
      <c r="E48" s="25"/>
      <c r="F48" s="25">
        <v>9450</v>
      </c>
    </row>
    <row r="49" spans="1:7" ht="30.2" customHeight="1">
      <c r="A49" s="66" t="s">
        <v>60</v>
      </c>
      <c r="B49" s="67"/>
      <c r="C49" s="8" t="s">
        <v>59</v>
      </c>
      <c r="D49" s="24"/>
      <c r="E49" s="25"/>
      <c r="F49" s="25">
        <v>3056.95</v>
      </c>
    </row>
    <row r="50" spans="1:7" ht="36.75" customHeight="1">
      <c r="A50" s="66" t="s">
        <v>61</v>
      </c>
      <c r="B50" s="67"/>
      <c r="C50" s="8" t="s">
        <v>59</v>
      </c>
      <c r="D50" s="24"/>
      <c r="E50" s="25"/>
      <c r="F50" s="21">
        <v>-5400</v>
      </c>
      <c r="G50" s="13"/>
    </row>
    <row r="51" spans="1:7">
      <c r="A51" s="66" t="s">
        <v>70</v>
      </c>
      <c r="B51" s="67"/>
      <c r="C51" s="8" t="s">
        <v>69</v>
      </c>
      <c r="D51" s="24"/>
      <c r="E51" s="25"/>
      <c r="F51" s="25">
        <v>4250</v>
      </c>
    </row>
    <row r="52" spans="1:7" ht="33.75" customHeight="1">
      <c r="A52" s="66" t="s">
        <v>114</v>
      </c>
      <c r="B52" s="67"/>
      <c r="C52" s="8" t="s">
        <v>69</v>
      </c>
      <c r="D52" s="24" t="s">
        <v>54</v>
      </c>
      <c r="E52" s="25">
        <v>8</v>
      </c>
      <c r="F52" s="25">
        <v>5579.14</v>
      </c>
    </row>
    <row r="53" spans="1:7">
      <c r="A53" s="66" t="s">
        <v>71</v>
      </c>
      <c r="B53" s="67"/>
      <c r="C53" s="8" t="s">
        <v>69</v>
      </c>
      <c r="D53" s="24" t="s">
        <v>55</v>
      </c>
      <c r="E53" s="25">
        <f>1.5+4</f>
        <v>5.5</v>
      </c>
      <c r="F53" s="25">
        <f>2005.87+2114.09</f>
        <v>4119.96</v>
      </c>
      <c r="G53" s="13"/>
    </row>
    <row r="54" spans="1:7" ht="32.25" customHeight="1">
      <c r="A54" s="66" t="s">
        <v>72</v>
      </c>
      <c r="B54" s="67"/>
      <c r="C54" s="8" t="s">
        <v>74</v>
      </c>
      <c r="D54" s="24"/>
      <c r="E54" s="25"/>
      <c r="F54" s="25">
        <v>9749.8700000000008</v>
      </c>
    </row>
    <row r="55" spans="1:7">
      <c r="A55" s="66" t="s">
        <v>73</v>
      </c>
      <c r="B55" s="67"/>
      <c r="C55" s="8" t="s">
        <v>74</v>
      </c>
      <c r="D55" s="24"/>
      <c r="E55" s="25"/>
      <c r="F55" s="25">
        <v>68785.8</v>
      </c>
      <c r="G55" s="13"/>
    </row>
    <row r="56" spans="1:7">
      <c r="A56" s="66" t="s">
        <v>75</v>
      </c>
      <c r="B56" s="67"/>
      <c r="C56" s="8" t="s">
        <v>74</v>
      </c>
      <c r="D56" s="24" t="s">
        <v>55</v>
      </c>
      <c r="E56" s="25">
        <v>6</v>
      </c>
      <c r="F56" s="25">
        <v>1557</v>
      </c>
      <c r="G56" s="13"/>
    </row>
    <row r="57" spans="1:7">
      <c r="A57" s="66" t="s">
        <v>76</v>
      </c>
      <c r="B57" s="67"/>
      <c r="C57" s="8" t="s">
        <v>74</v>
      </c>
      <c r="D57" s="24" t="s">
        <v>55</v>
      </c>
      <c r="E57" s="25">
        <v>5</v>
      </c>
      <c r="F57" s="25">
        <v>1297.5</v>
      </c>
      <c r="G57" s="13"/>
    </row>
    <row r="58" spans="1:7">
      <c r="A58" s="66" t="s">
        <v>77</v>
      </c>
      <c r="B58" s="67"/>
      <c r="C58" s="8" t="s">
        <v>78</v>
      </c>
      <c r="D58" s="24"/>
      <c r="E58" s="25"/>
      <c r="F58" s="25">
        <v>12829.76</v>
      </c>
      <c r="G58" s="13"/>
    </row>
    <row r="59" spans="1:7" ht="30.75" customHeight="1">
      <c r="A59" s="88" t="s">
        <v>79</v>
      </c>
      <c r="B59" s="89"/>
      <c r="C59" s="8" t="s">
        <v>78</v>
      </c>
      <c r="D59" s="24"/>
      <c r="E59" s="25"/>
      <c r="F59" s="25">
        <v>11613.26</v>
      </c>
      <c r="G59" s="13"/>
    </row>
    <row r="60" spans="1:7">
      <c r="A60" s="88" t="s">
        <v>80</v>
      </c>
      <c r="B60" s="89"/>
      <c r="C60" s="8" t="s">
        <v>78</v>
      </c>
      <c r="D60" s="24"/>
      <c r="E60" s="25"/>
      <c r="F60" s="25">
        <v>394.65</v>
      </c>
      <c r="G60" s="13"/>
    </row>
    <row r="61" spans="1:7" ht="32.25" customHeight="1">
      <c r="A61" s="88" t="s">
        <v>81</v>
      </c>
      <c r="B61" s="89"/>
      <c r="C61" s="8" t="s">
        <v>78</v>
      </c>
      <c r="D61" s="24" t="s">
        <v>55</v>
      </c>
      <c r="E61" s="25">
        <v>23</v>
      </c>
      <c r="F61" s="25">
        <v>11707.55</v>
      </c>
      <c r="G61" s="13"/>
    </row>
    <row r="62" spans="1:7">
      <c r="A62" s="88" t="s">
        <v>82</v>
      </c>
      <c r="B62" s="89"/>
      <c r="C62" s="8" t="s">
        <v>78</v>
      </c>
      <c r="D62" s="24"/>
      <c r="E62" s="25"/>
      <c r="F62" s="25">
        <v>2560</v>
      </c>
      <c r="G62" s="13"/>
    </row>
    <row r="63" spans="1:7">
      <c r="A63" s="88" t="s">
        <v>83</v>
      </c>
      <c r="B63" s="89"/>
      <c r="C63" s="8" t="s">
        <v>78</v>
      </c>
      <c r="D63" s="24"/>
      <c r="E63" s="25"/>
      <c r="F63" s="25">
        <v>5054.76</v>
      </c>
      <c r="G63" s="13"/>
    </row>
    <row r="64" spans="1:7" ht="30.2" customHeight="1">
      <c r="A64" s="88" t="s">
        <v>84</v>
      </c>
      <c r="B64" s="89"/>
      <c r="C64" s="8" t="s">
        <v>78</v>
      </c>
      <c r="D64" s="24"/>
      <c r="E64" s="25"/>
      <c r="F64" s="25">
        <v>73425.75</v>
      </c>
      <c r="G64" s="13"/>
    </row>
    <row r="65" spans="1:7">
      <c r="A65" s="88" t="s">
        <v>85</v>
      </c>
      <c r="B65" s="89"/>
      <c r="C65" s="8" t="s">
        <v>78</v>
      </c>
      <c r="D65" s="24"/>
      <c r="E65" s="25"/>
      <c r="F65" s="25"/>
      <c r="G65" s="13"/>
    </row>
    <row r="66" spans="1:7" s="33" customFormat="1">
      <c r="A66" s="88" t="s">
        <v>86</v>
      </c>
      <c r="B66" s="89"/>
      <c r="C66" s="8" t="s">
        <v>87</v>
      </c>
      <c r="D66" s="31" t="s">
        <v>55</v>
      </c>
      <c r="E66" s="31">
        <v>6</v>
      </c>
      <c r="F66" s="32">
        <v>1235.69</v>
      </c>
      <c r="G66" s="30"/>
    </row>
    <row r="67" spans="1:7" s="33" customFormat="1">
      <c r="A67" s="88" t="s">
        <v>88</v>
      </c>
      <c r="B67" s="89"/>
      <c r="C67" s="8" t="s">
        <v>87</v>
      </c>
      <c r="D67" s="31"/>
      <c r="E67" s="31"/>
      <c r="F67" s="32">
        <v>10200</v>
      </c>
      <c r="G67" s="30"/>
    </row>
    <row r="68" spans="1:7" s="33" customFormat="1">
      <c r="A68" s="88" t="s">
        <v>89</v>
      </c>
      <c r="B68" s="89"/>
      <c r="C68" s="8" t="s">
        <v>87</v>
      </c>
      <c r="D68" s="31" t="s">
        <v>55</v>
      </c>
      <c r="E68" s="31">
        <v>12</v>
      </c>
      <c r="F68" s="32">
        <v>5509.11</v>
      </c>
      <c r="G68" s="30"/>
    </row>
    <row r="69" spans="1:7" s="33" customFormat="1">
      <c r="A69" s="88" t="s">
        <v>90</v>
      </c>
      <c r="B69" s="89"/>
      <c r="C69" s="8" t="s">
        <v>87</v>
      </c>
      <c r="D69" s="31"/>
      <c r="E69" s="31"/>
      <c r="F69" s="32">
        <v>7650</v>
      </c>
      <c r="G69" s="30"/>
    </row>
    <row r="70" spans="1:7">
      <c r="A70" s="88" t="s">
        <v>91</v>
      </c>
      <c r="B70" s="89"/>
      <c r="C70" s="8" t="s">
        <v>87</v>
      </c>
      <c r="D70" s="24"/>
      <c r="E70" s="24"/>
      <c r="F70" s="25">
        <v>320</v>
      </c>
      <c r="G70" s="13"/>
    </row>
    <row r="71" spans="1:7" ht="31.7" customHeight="1">
      <c r="A71" s="66" t="s">
        <v>92</v>
      </c>
      <c r="B71" s="67"/>
      <c r="C71" s="8" t="s">
        <v>87</v>
      </c>
      <c r="D71" s="24"/>
      <c r="E71" s="24"/>
      <c r="F71" s="25">
        <v>64657.84</v>
      </c>
      <c r="G71" s="13"/>
    </row>
    <row r="72" spans="1:7" s="33" customFormat="1" ht="33" customHeight="1">
      <c r="A72" s="73" t="s">
        <v>93</v>
      </c>
      <c r="B72" s="74"/>
      <c r="C72" s="34" t="s">
        <v>87</v>
      </c>
      <c r="D72" s="35"/>
      <c r="E72" s="35"/>
      <c r="F72" s="21">
        <v>123460</v>
      </c>
      <c r="G72" s="30"/>
    </row>
    <row r="73" spans="1:7">
      <c r="A73" s="66" t="s">
        <v>94</v>
      </c>
      <c r="B73" s="67"/>
      <c r="C73" s="8" t="s">
        <v>87</v>
      </c>
      <c r="D73" s="52" t="s">
        <v>55</v>
      </c>
      <c r="E73" s="52">
        <v>12</v>
      </c>
      <c r="F73" s="8">
        <v>4103.4399999999996</v>
      </c>
    </row>
    <row r="74" spans="1:7" s="33" customFormat="1">
      <c r="A74" s="75" t="s">
        <v>95</v>
      </c>
      <c r="B74" s="75"/>
      <c r="C74" s="8" t="s">
        <v>87</v>
      </c>
      <c r="D74" s="38" t="s">
        <v>55</v>
      </c>
      <c r="E74" s="31">
        <v>13</v>
      </c>
      <c r="F74" s="32">
        <v>4624.0200000000004</v>
      </c>
    </row>
    <row r="75" spans="1:7" s="39" customFormat="1">
      <c r="A75" s="66" t="s">
        <v>96</v>
      </c>
      <c r="B75" s="67"/>
      <c r="C75" s="8" t="s">
        <v>97</v>
      </c>
      <c r="D75" s="38" t="s">
        <v>54</v>
      </c>
      <c r="E75" s="37">
        <v>2</v>
      </c>
      <c r="F75" s="38">
        <v>800</v>
      </c>
    </row>
    <row r="76" spans="1:7" s="39" customFormat="1">
      <c r="A76" s="66" t="s">
        <v>98</v>
      </c>
      <c r="B76" s="67"/>
      <c r="C76" s="8" t="s">
        <v>97</v>
      </c>
      <c r="D76" s="38" t="s">
        <v>55</v>
      </c>
      <c r="E76" s="37">
        <v>8</v>
      </c>
      <c r="F76" s="38">
        <v>3297.65</v>
      </c>
    </row>
    <row r="77" spans="1:7" s="39" customFormat="1">
      <c r="A77" s="66" t="s">
        <v>76</v>
      </c>
      <c r="B77" s="67"/>
      <c r="C77" s="8" t="s">
        <v>97</v>
      </c>
      <c r="D77" s="38" t="s">
        <v>55</v>
      </c>
      <c r="E77" s="37">
        <v>8</v>
      </c>
      <c r="F77" s="38">
        <v>2076</v>
      </c>
    </row>
    <row r="78" spans="1:7" s="55" customFormat="1" ht="25.5" customHeight="1">
      <c r="A78" s="66" t="s">
        <v>115</v>
      </c>
      <c r="B78" s="67"/>
      <c r="C78" s="8" t="s">
        <v>116</v>
      </c>
      <c r="D78" s="54"/>
      <c r="E78" s="53"/>
      <c r="F78" s="54">
        <v>10200</v>
      </c>
    </row>
    <row r="79" spans="1:7" s="55" customFormat="1">
      <c r="A79" s="66" t="s">
        <v>117</v>
      </c>
      <c r="B79" s="67"/>
      <c r="C79" s="8" t="s">
        <v>116</v>
      </c>
      <c r="D79" s="54" t="s">
        <v>54</v>
      </c>
      <c r="E79" s="53">
        <v>1</v>
      </c>
      <c r="F79" s="54">
        <v>138.88</v>
      </c>
    </row>
    <row r="80" spans="1:7" s="33" customFormat="1">
      <c r="A80" s="66" t="s">
        <v>118</v>
      </c>
      <c r="B80" s="67"/>
      <c r="C80" s="8" t="s">
        <v>116</v>
      </c>
      <c r="D80" s="38" t="s">
        <v>54</v>
      </c>
      <c r="E80" s="31">
        <v>4</v>
      </c>
      <c r="F80" s="32">
        <v>482</v>
      </c>
    </row>
    <row r="81" spans="1:15" s="55" customFormat="1">
      <c r="A81" s="66" t="s">
        <v>119</v>
      </c>
      <c r="B81" s="67"/>
      <c r="C81" s="8" t="s">
        <v>116</v>
      </c>
      <c r="D81" s="54" t="s">
        <v>54</v>
      </c>
      <c r="E81" s="53">
        <v>2</v>
      </c>
      <c r="F81" s="54">
        <v>83.28</v>
      </c>
    </row>
    <row r="82" spans="1:15" s="59" customFormat="1">
      <c r="A82" s="56"/>
      <c r="B82" s="57"/>
      <c r="C82" s="8"/>
      <c r="D82" s="60"/>
      <c r="E82" s="58"/>
      <c r="F82" s="60"/>
    </row>
    <row r="83" spans="1:15">
      <c r="A83" s="76"/>
      <c r="B83" s="77"/>
      <c r="C83" s="8"/>
      <c r="D83" s="38"/>
      <c r="E83" s="25" t="s">
        <v>26</v>
      </c>
      <c r="F83" s="25">
        <f>SUM(F44:F82)</f>
        <v>470811.08</v>
      </c>
      <c r="G83" s="79" t="s">
        <v>51</v>
      </c>
      <c r="H83" s="79"/>
      <c r="I83" s="79"/>
      <c r="J83" s="79"/>
      <c r="K83" s="79"/>
      <c r="L83" s="79"/>
      <c r="M83" s="79"/>
      <c r="N83" s="79"/>
      <c r="O83" s="79"/>
    </row>
    <row r="84" spans="1:15">
      <c r="A84" s="78"/>
      <c r="B84" s="78"/>
    </row>
    <row r="85" spans="1:15">
      <c r="A85" s="78"/>
      <c r="B85" s="78"/>
    </row>
    <row r="86" spans="1:15">
      <c r="A86" s="78"/>
      <c r="B86" s="78"/>
    </row>
    <row r="87" spans="1:15">
      <c r="A87" s="78"/>
      <c r="B87" s="78"/>
    </row>
    <row r="88" spans="1:15">
      <c r="A88" s="78"/>
      <c r="B88" s="78"/>
    </row>
  </sheetData>
  <mergeCells count="81">
    <mergeCell ref="A58:B58"/>
    <mergeCell ref="A64:B64"/>
    <mergeCell ref="A70:B70"/>
    <mergeCell ref="A71:B71"/>
    <mergeCell ref="A60:B60"/>
    <mergeCell ref="A61:B61"/>
    <mergeCell ref="A62:B62"/>
    <mergeCell ref="A63:B63"/>
    <mergeCell ref="A66:B66"/>
    <mergeCell ref="A67:B67"/>
    <mergeCell ref="A68:B68"/>
    <mergeCell ref="A69:B69"/>
    <mergeCell ref="A5:A7"/>
    <mergeCell ref="A8:A10"/>
    <mergeCell ref="A35:B35"/>
    <mergeCell ref="A11:A13"/>
    <mergeCell ref="A17:A19"/>
    <mergeCell ref="A14:A16"/>
    <mergeCell ref="A25:B25"/>
    <mergeCell ref="A26:B26"/>
    <mergeCell ref="A31:B31"/>
    <mergeCell ref="A28:B28"/>
    <mergeCell ref="A29:B29"/>
    <mergeCell ref="A30:B30"/>
    <mergeCell ref="A33:B33"/>
    <mergeCell ref="A27:B27"/>
    <mergeCell ref="A32:B32"/>
    <mergeCell ref="A20:A23"/>
    <mergeCell ref="O1:O2"/>
    <mergeCell ref="C2:N2"/>
    <mergeCell ref="A4:B4"/>
    <mergeCell ref="A1:B1"/>
    <mergeCell ref="A2:B2"/>
    <mergeCell ref="A3:B3"/>
    <mergeCell ref="G83:O83"/>
    <mergeCell ref="I45:M45"/>
    <mergeCell ref="I46:M46"/>
    <mergeCell ref="A47:B47"/>
    <mergeCell ref="A43:B43"/>
    <mergeCell ref="A53:B53"/>
    <mergeCell ref="A48:B48"/>
    <mergeCell ref="A49:B49"/>
    <mergeCell ref="A46:B46"/>
    <mergeCell ref="I47:M47"/>
    <mergeCell ref="I43:N43"/>
    <mergeCell ref="I44:M44"/>
    <mergeCell ref="A73:B73"/>
    <mergeCell ref="A65:B65"/>
    <mergeCell ref="A57:B57"/>
    <mergeCell ref="A59:B59"/>
    <mergeCell ref="A88:B88"/>
    <mergeCell ref="A84:B84"/>
    <mergeCell ref="A85:B85"/>
    <mergeCell ref="A86:B86"/>
    <mergeCell ref="A87:B87"/>
    <mergeCell ref="A72:B72"/>
    <mergeCell ref="A74:B74"/>
    <mergeCell ref="A80:B80"/>
    <mergeCell ref="A83:B83"/>
    <mergeCell ref="A75:B75"/>
    <mergeCell ref="A76:B76"/>
    <mergeCell ref="A77:B77"/>
    <mergeCell ref="A78:B78"/>
    <mergeCell ref="A79:B79"/>
    <mergeCell ref="A81:B81"/>
    <mergeCell ref="A24:N24"/>
    <mergeCell ref="A39:B39"/>
    <mergeCell ref="A54:B54"/>
    <mergeCell ref="A56:B56"/>
    <mergeCell ref="A55:B55"/>
    <mergeCell ref="A52:B52"/>
    <mergeCell ref="A44:B44"/>
    <mergeCell ref="A45:B45"/>
    <mergeCell ref="A50:B50"/>
    <mergeCell ref="A51:B51"/>
    <mergeCell ref="A42:F42"/>
    <mergeCell ref="A40:B40"/>
    <mergeCell ref="A34:B34"/>
    <mergeCell ref="A38:B38"/>
    <mergeCell ref="A37:B37"/>
    <mergeCell ref="A36:B36"/>
  </mergeCells>
  <phoneticPr fontId="0" type="noConversion"/>
  <pageMargins left="0.18" right="0.18" top="0.5" bottom="0.28999999999999998" header="0.31496062992125984" footer="0.31496062992125984"/>
  <pageSetup paperSize="9" scale="72" orientation="landscape" r:id="rId1"/>
  <rowBreaks count="3" manualBreakCount="3">
    <brk id="31" max="14" man="1"/>
    <brk id="63" max="14" man="1"/>
    <brk id="84" max="14" man="1"/>
  </rowBreaks>
  <webPublishItems count="1">
    <webPublishItem id="14653" divId="Лицевой счет ул. 40 ЛЕТ ОКТЯБРЯ, д. 1_14653" sourceType="sheet" destinationFile="H:\ГЛ.Инженер\ЖИЛФОНД пгт ШЕРЕГЕШ\БД домов\40 лет октября 1\2010год\Лицевой счет ул. 40 ЛЕТ ОКТЯБРЯ, д. 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view="pageBreakPreview" zoomScaleNormal="100" zoomScaleSheetLayoutView="100" workbookViewId="0">
      <selection activeCell="A15" sqref="A15:E15"/>
    </sheetView>
  </sheetViews>
  <sheetFormatPr defaultColWidth="9.140625" defaultRowHeight="15.75"/>
  <cols>
    <col min="1" max="1" width="55.140625" style="42" customWidth="1"/>
    <col min="2" max="2" width="11.42578125" style="48" customWidth="1"/>
    <col min="3" max="3" width="12.42578125" style="42" customWidth="1"/>
    <col min="4" max="5" width="9.7109375" style="42" customWidth="1"/>
    <col min="6" max="6" width="16.140625" style="42" customWidth="1"/>
    <col min="7" max="16384" width="9.140625" style="42"/>
  </cols>
  <sheetData>
    <row r="1" spans="1:6">
      <c r="A1" s="102" t="s">
        <v>99</v>
      </c>
      <c r="B1" s="102"/>
      <c r="C1" s="102"/>
      <c r="D1" s="102"/>
      <c r="E1" s="102"/>
      <c r="F1" s="102"/>
    </row>
    <row r="2" spans="1:6" ht="32.25" customHeight="1">
      <c r="A2" s="101" t="s">
        <v>108</v>
      </c>
      <c r="B2" s="101"/>
      <c r="C2" s="101"/>
      <c r="D2" s="101"/>
      <c r="E2" s="101"/>
      <c r="F2" s="41">
        <f>'2016 год'!N44</f>
        <v>-133894.91</v>
      </c>
    </row>
    <row r="3" spans="1:6">
      <c r="A3" s="101" t="s">
        <v>112</v>
      </c>
      <c r="B3" s="101"/>
      <c r="C3" s="101"/>
      <c r="D3" s="101"/>
      <c r="E3" s="101"/>
      <c r="F3" s="41">
        <f>'2016 год'!O20</f>
        <v>810358.88</v>
      </c>
    </row>
    <row r="4" spans="1:6" s="45" customFormat="1">
      <c r="A4" s="101" t="s">
        <v>100</v>
      </c>
      <c r="B4" s="101"/>
      <c r="C4" s="101"/>
      <c r="D4" s="101"/>
      <c r="E4" s="101"/>
      <c r="F4" s="41">
        <f>'2016 год'!O21</f>
        <v>931047.35999999987</v>
      </c>
    </row>
    <row r="5" spans="1:6" s="45" customFormat="1">
      <c r="A5" s="101" t="s">
        <v>109</v>
      </c>
      <c r="B5" s="101"/>
      <c r="C5" s="101"/>
      <c r="D5" s="101"/>
      <c r="E5" s="101"/>
      <c r="F5" s="43">
        <f>F46</f>
        <v>123460</v>
      </c>
    </row>
    <row r="6" spans="1:6" s="45" customFormat="1" ht="39.75" customHeight="1">
      <c r="A6" s="103" t="s">
        <v>106</v>
      </c>
      <c r="B6" s="103"/>
      <c r="C6" s="103"/>
      <c r="D6" s="103"/>
      <c r="E6" s="103"/>
      <c r="F6" s="103"/>
    </row>
    <row r="7" spans="1:6">
      <c r="A7" s="101" t="str">
        <f>'2016 год'!A25:B25</f>
        <v>1. Услуга по управлению (1,38  руб. с м2)</v>
      </c>
      <c r="B7" s="101"/>
      <c r="C7" s="101"/>
      <c r="D7" s="101"/>
      <c r="E7" s="101"/>
      <c r="F7" s="41">
        <f>'2016 год'!O25</f>
        <v>65527.920000000013</v>
      </c>
    </row>
    <row r="8" spans="1:6">
      <c r="A8" s="101" t="str">
        <f>'2016 год'!A26:B26</f>
        <v>2. Техническое обслуживание (2,65 руб. с м2)</v>
      </c>
      <c r="B8" s="101"/>
      <c r="C8" s="101"/>
      <c r="D8" s="101"/>
      <c r="E8" s="101"/>
      <c r="F8" s="41">
        <f>'2016 год'!O26</f>
        <v>125832.60000000002</v>
      </c>
    </row>
    <row r="9" spans="1:6">
      <c r="A9" s="101" t="str">
        <f>'[1]2016 год'!A26:B26</f>
        <v>3. Услуги по начислению и сбору платежей (0,64 руб.с кв.м)</v>
      </c>
      <c r="B9" s="101"/>
      <c r="C9" s="101"/>
      <c r="D9" s="101"/>
      <c r="E9" s="101"/>
      <c r="F9" s="41">
        <f>'2016 год'!O31</f>
        <v>30389.759999999998</v>
      </c>
    </row>
    <row r="10" spans="1:6">
      <c r="A10" s="101" t="str">
        <f>'[1]2016 год'!A27:B27</f>
        <v>4. Санитарное содержание мест общего пользования (2,64 руб.с кв.м)</v>
      </c>
      <c r="B10" s="101"/>
      <c r="C10" s="101"/>
      <c r="D10" s="101"/>
      <c r="E10" s="101"/>
      <c r="F10" s="41">
        <f>'2016 год'!O32</f>
        <v>125357.75999999999</v>
      </c>
    </row>
    <row r="11" spans="1:6">
      <c r="A11" s="101" t="str">
        <f>'[1]2016 год'!A28:B28</f>
        <v>5. АВР - диспетчерская служба (1,61 руб.с кв.м)</v>
      </c>
      <c r="B11" s="101"/>
      <c r="C11" s="101"/>
      <c r="D11" s="101"/>
      <c r="E11" s="101"/>
      <c r="F11" s="41">
        <f>'2016 год'!O33</f>
        <v>76449.24000000002</v>
      </c>
    </row>
    <row r="12" spans="1:6">
      <c r="A12" s="101" t="str">
        <f>'[1]2016 год'!A29:B29</f>
        <v>6. Паспортный стол (0,20 руб.с кв.м)</v>
      </c>
      <c r="B12" s="101"/>
      <c r="C12" s="101"/>
      <c r="D12" s="101"/>
      <c r="E12" s="101"/>
      <c r="F12" s="41">
        <f>'2016 год'!O34</f>
        <v>4748.4000000000005</v>
      </c>
    </row>
    <row r="13" spans="1:6">
      <c r="A13" s="101" t="str">
        <f>'[1]2016 год'!A30:B30</f>
        <v>7. Механизированная уборка придомовой территории (1800 руб/час)</v>
      </c>
      <c r="B13" s="101"/>
      <c r="C13" s="101"/>
      <c r="D13" s="101"/>
      <c r="E13" s="101"/>
      <c r="F13" s="41">
        <f>'2016 год'!O35</f>
        <v>15307.3</v>
      </c>
    </row>
    <row r="14" spans="1:6">
      <c r="A14" s="101" t="str">
        <f>'[1]2016 год'!A31:B31</f>
        <v>8. Очистка кровли</v>
      </c>
      <c r="B14" s="101"/>
      <c r="C14" s="101"/>
      <c r="D14" s="101"/>
      <c r="E14" s="101"/>
      <c r="F14" s="41">
        <f>'2016 год'!O36</f>
        <v>1550</v>
      </c>
    </row>
    <row r="15" spans="1:6">
      <c r="A15" s="86" t="s">
        <v>101</v>
      </c>
      <c r="B15" s="86"/>
      <c r="C15" s="86"/>
      <c r="D15" s="86"/>
      <c r="E15" s="86"/>
      <c r="F15" s="46">
        <f>SUM(F7:F14)</f>
        <v>445162.98000000004</v>
      </c>
    </row>
    <row r="16" spans="1:6">
      <c r="A16" s="76"/>
      <c r="B16" s="87"/>
      <c r="C16" s="87"/>
      <c r="D16" s="87"/>
      <c r="E16" s="87"/>
      <c r="F16" s="77"/>
    </row>
    <row r="17" spans="1:6">
      <c r="A17" s="80" t="s">
        <v>102</v>
      </c>
      <c r="B17" s="82"/>
      <c r="C17" s="41" t="s">
        <v>25</v>
      </c>
      <c r="D17" s="41" t="s">
        <v>103</v>
      </c>
      <c r="E17" s="46" t="s">
        <v>36</v>
      </c>
      <c r="F17" s="46" t="s">
        <v>57</v>
      </c>
    </row>
    <row r="18" spans="1:6">
      <c r="A18" s="66" t="str">
        <f>'2016 год'!A44:B44</f>
        <v>Освещение 1п 1эт лампа светодиод</v>
      </c>
      <c r="B18" s="67"/>
      <c r="C18" s="8" t="str">
        <f>'2016 год'!C44</f>
        <v>январь</v>
      </c>
      <c r="D18" s="8" t="str">
        <f>'2016 год'!D44</f>
        <v>шт.</v>
      </c>
      <c r="E18" s="8">
        <f>'2016 год'!E44</f>
        <v>1</v>
      </c>
      <c r="F18" s="47">
        <f>'2016 год'!F44</f>
        <v>150.85</v>
      </c>
    </row>
    <row r="19" spans="1:6">
      <c r="A19" s="66" t="str">
        <f>'2016 год'!A45:B45</f>
        <v>Замена ст хгвс кв 62 1м ст хгвс, канализации
подвал/цоколь 63а/41  13/7 м.п</v>
      </c>
      <c r="B19" s="67"/>
      <c r="C19" s="8" t="str">
        <f>'2016 год'!C45</f>
        <v>февраль</v>
      </c>
      <c r="D19" s="8" t="str">
        <f>'2016 год'!D45</f>
        <v>м.п.</v>
      </c>
      <c r="E19" s="8" t="str">
        <f>'2016 год'!E45</f>
        <v>13/7</v>
      </c>
      <c r="F19" s="47">
        <f>'2016 год'!F45</f>
        <v>8641.5400000000009</v>
      </c>
    </row>
    <row r="20" spans="1:6">
      <c r="A20" s="66" t="str">
        <f>'2016 год'!A46:B46</f>
        <v>Изготовление табличек и установка</v>
      </c>
      <c r="B20" s="67"/>
      <c r="C20" s="8" t="str">
        <f>'2016 год'!C46</f>
        <v>февраль</v>
      </c>
      <c r="D20" s="8" t="str">
        <f>'2016 год'!D46</f>
        <v>шт.</v>
      </c>
      <c r="E20" s="8">
        <f>'2016 год'!E46</f>
        <v>1</v>
      </c>
      <c r="F20" s="47">
        <f>'2016 год'!F46</f>
        <v>723</v>
      </c>
    </row>
    <row r="21" spans="1:6">
      <c r="A21" s="66" t="str">
        <f>'2016 год'!A47:B47</f>
        <v>Замена ст канализации подвал, офис</v>
      </c>
      <c r="B21" s="67"/>
      <c r="C21" s="8" t="str">
        <f>'2016 год'!C47</f>
        <v>май</v>
      </c>
      <c r="D21" s="8" t="str">
        <f>'2016 год'!D47</f>
        <v>м.п.</v>
      </c>
      <c r="E21" s="8">
        <f>'2016 год'!E47</f>
        <v>5.5</v>
      </c>
      <c r="F21" s="47">
        <f>'2016 год'!F47</f>
        <v>2425.83</v>
      </c>
    </row>
    <row r="22" spans="1:6">
      <c r="A22" s="66" t="str">
        <f>'2016 год'!A48:B48</f>
        <v>Транспортные расходы (доставка лавочек) Мундыбаш</v>
      </c>
      <c r="B22" s="67"/>
      <c r="C22" s="8" t="str">
        <f>'2016 год'!C48</f>
        <v>июнь</v>
      </c>
      <c r="D22" s="8"/>
      <c r="E22" s="8"/>
      <c r="F22" s="47">
        <f>'2016 год'!F48</f>
        <v>9450</v>
      </c>
    </row>
    <row r="23" spans="1:6">
      <c r="A23" s="66" t="str">
        <f>'2016 год'!A49:B49</f>
        <v>Монтаж муфт для промывки ст отопления</v>
      </c>
      <c r="B23" s="67"/>
      <c r="C23" s="8" t="str">
        <f>'2016 год'!C49</f>
        <v>июнь</v>
      </c>
      <c r="D23" s="8"/>
      <c r="E23" s="8"/>
      <c r="F23" s="47">
        <f>'2016 год'!F49</f>
        <v>3056.95</v>
      </c>
    </row>
    <row r="24" spans="1:6">
      <c r="A24" s="66" t="str">
        <f>'2016 год'!A50:B50</f>
        <v>Урны (демонтаж) возврат денежных средств</v>
      </c>
      <c r="B24" s="67"/>
      <c r="C24" s="8" t="str">
        <f>'2016 год'!C50</f>
        <v>июнь</v>
      </c>
      <c r="D24" s="8"/>
      <c r="E24" s="8"/>
      <c r="F24" s="47">
        <f>'2016 год'!F50</f>
        <v>-5400</v>
      </c>
    </row>
    <row r="25" spans="1:6">
      <c r="A25" s="66" t="str">
        <f>'2016 год'!A51:B51</f>
        <v>Уборка строительного мусора на кровле</v>
      </c>
      <c r="B25" s="67"/>
      <c r="C25" s="8" t="str">
        <f>'2016 год'!C51</f>
        <v>июль</v>
      </c>
      <c r="D25" s="8"/>
      <c r="E25" s="8"/>
      <c r="F25" s="47">
        <f>'2016 год'!F51</f>
        <v>4250</v>
      </c>
    </row>
    <row r="26" spans="1:6">
      <c r="A26" s="66" t="str">
        <f>'2016 год'!A52:B52</f>
        <v>Замена плавких вставок с установкой держателей в щитовой 4п,6п</v>
      </c>
      <c r="B26" s="67"/>
      <c r="C26" s="8" t="str">
        <f>'2016 год'!C52</f>
        <v>июль</v>
      </c>
      <c r="D26" s="8" t="str">
        <f>'2016 год'!D52</f>
        <v>шт.</v>
      </c>
      <c r="E26" s="8">
        <f>'2016 год'!E52</f>
        <v>8</v>
      </c>
      <c r="F26" s="47">
        <f>'2016 год'!F52</f>
        <v>5579.14</v>
      </c>
    </row>
    <row r="27" spans="1:6">
      <c r="A27" s="66" t="str">
        <f>'2016 год'!A53:B53</f>
        <v>Ремонт канализационного лежака 1п, 6п</v>
      </c>
      <c r="B27" s="67"/>
      <c r="C27" s="8" t="str">
        <f>'2016 год'!C53</f>
        <v>июль</v>
      </c>
      <c r="D27" s="8" t="str">
        <f>'2016 год'!D53</f>
        <v>м.п.</v>
      </c>
      <c r="E27" s="8">
        <f>'2016 год'!E53</f>
        <v>5.5</v>
      </c>
      <c r="F27" s="47">
        <f>'2016 год'!F53</f>
        <v>4119.96</v>
      </c>
    </row>
    <row r="28" spans="1:6" ht="16.5" customHeight="1">
      <c r="A28" s="66" t="str">
        <f>'2016 год'!A54:B54</f>
        <v>Ремонт мягкой кровли над кв 60(ремонт примыкания)</v>
      </c>
      <c r="B28" s="67"/>
      <c r="C28" s="8" t="str">
        <f>'2016 год'!C54</f>
        <v>август</v>
      </c>
      <c r="D28" s="8"/>
      <c r="E28" s="8"/>
      <c r="F28" s="47">
        <f>'2016 год'!F54</f>
        <v>9749.8700000000008</v>
      </c>
    </row>
    <row r="29" spans="1:6">
      <c r="A29" s="66" t="str">
        <f>'2016 год'!A55:B55</f>
        <v>Ремонт козырьков</v>
      </c>
      <c r="B29" s="67"/>
      <c r="C29" s="8" t="str">
        <f>'2016 год'!C55</f>
        <v>август</v>
      </c>
      <c r="D29" s="8"/>
      <c r="E29" s="8"/>
      <c r="F29" s="47">
        <f>'2016 год'!F55</f>
        <v>68785.8</v>
      </c>
    </row>
    <row r="30" spans="1:6">
      <c r="A30" s="66" t="str">
        <f>'2016 год'!A56:B56</f>
        <v>Прочистка канализации внутренней 1п</v>
      </c>
      <c r="B30" s="67"/>
      <c r="C30" s="8" t="str">
        <f>'2016 год'!C56</f>
        <v>август</v>
      </c>
      <c r="D30" s="8" t="str">
        <f>'2016 год'!D56</f>
        <v>м.п.</v>
      </c>
      <c r="E30" s="8">
        <f>'2016 год'!E56</f>
        <v>6</v>
      </c>
      <c r="F30" s="47">
        <f>'2016 год'!F56</f>
        <v>1557</v>
      </c>
    </row>
    <row r="31" spans="1:6">
      <c r="A31" s="66" t="str">
        <f>'2016 год'!A57:B57</f>
        <v>Прочистка канализации внутренней 2п</v>
      </c>
      <c r="B31" s="67"/>
      <c r="C31" s="8" t="str">
        <f>'2016 год'!C57</f>
        <v>август</v>
      </c>
      <c r="D31" s="8" t="str">
        <f>'2016 год'!D57</f>
        <v>м.п.</v>
      </c>
      <c r="E31" s="8">
        <f>'2016 год'!E57</f>
        <v>5</v>
      </c>
      <c r="F31" s="47">
        <f>'2016 год'!F57</f>
        <v>1297.5</v>
      </c>
    </row>
    <row r="32" spans="1:6">
      <c r="A32" s="66" t="str">
        <f>'2016 год'!A58:B58</f>
        <v>Ремонт шт-ки стен, окраска откосов</v>
      </c>
      <c r="B32" s="67"/>
      <c r="C32" s="8" t="str">
        <f>'2016 год'!C58</f>
        <v>сентябрь</v>
      </c>
      <c r="D32" s="8"/>
      <c r="E32" s="8"/>
      <c r="F32" s="47">
        <f>'2016 год'!F58</f>
        <v>12829.76</v>
      </c>
    </row>
    <row r="33" spans="1:6">
      <c r="A33" s="66" t="str">
        <f>'2016 год'!A59:B59</f>
        <v>Укрепление кабеля наружного освещения</v>
      </c>
      <c r="B33" s="67"/>
      <c r="C33" s="8" t="str">
        <f>'2016 год'!C59</f>
        <v>сентябрь</v>
      </c>
      <c r="D33" s="8"/>
      <c r="E33" s="8"/>
      <c r="F33" s="47">
        <f>'2016 год'!F59</f>
        <v>11613.26</v>
      </c>
    </row>
    <row r="34" spans="1:6">
      <c r="A34" s="66" t="str">
        <f>'2016 год'!A60:B60</f>
        <v>Демонтаж и монтаж светильника</v>
      </c>
      <c r="B34" s="67"/>
      <c r="C34" s="8" t="str">
        <f>'2016 год'!C60</f>
        <v>сентябрь</v>
      </c>
      <c r="D34" s="8"/>
      <c r="E34" s="8"/>
      <c r="F34" s="47">
        <f>'2016 год'!F60</f>
        <v>394.65</v>
      </c>
    </row>
    <row r="35" spans="1:6">
      <c r="A35" s="66" t="str">
        <f>'2016 год'!A61:B61</f>
        <v>Замена стояка хгвс п/сушителя-полвал/кв.41</v>
      </c>
      <c r="B35" s="67"/>
      <c r="C35" s="8" t="str">
        <f>'2016 год'!C61</f>
        <v>сентябрь</v>
      </c>
      <c r="D35" s="8" t="str">
        <f>'2016 год'!D61</f>
        <v>м.п.</v>
      </c>
      <c r="E35" s="8">
        <f>'2016 год'!E61</f>
        <v>23</v>
      </c>
      <c r="F35" s="47">
        <f>'2016 год'!F61</f>
        <v>11707.55</v>
      </c>
    </row>
    <row r="36" spans="1:6">
      <c r="A36" s="66" t="str">
        <f>'2016 год'!A62:B62</f>
        <v>Уборка мусора (вент. Канал.)</v>
      </c>
      <c r="B36" s="67"/>
      <c r="C36" s="8" t="str">
        <f>'2016 год'!C62</f>
        <v>сентябрь</v>
      </c>
      <c r="D36" s="8"/>
      <c r="E36" s="8"/>
      <c r="F36" s="47">
        <f>'2016 год'!F62</f>
        <v>2560</v>
      </c>
    </row>
    <row r="37" spans="1:6">
      <c r="A37" s="66" t="str">
        <f>'2016 год'!A63:B63</f>
        <v>Окраска малых форм (дверей)</v>
      </c>
      <c r="B37" s="67"/>
      <c r="C37" s="8" t="str">
        <f>'2016 год'!C63</f>
        <v>сентябрь</v>
      </c>
      <c r="D37" s="8"/>
      <c r="E37" s="8"/>
      <c r="F37" s="47">
        <f>'2016 год'!F63</f>
        <v>5054.76</v>
      </c>
    </row>
    <row r="38" spans="1:6">
      <c r="A38" s="66" t="str">
        <f>'2016 год'!A64:B64</f>
        <v>Асфальтирование придомовой территории</v>
      </c>
      <c r="B38" s="67"/>
      <c r="C38" s="8" t="str">
        <f>'2016 год'!C64</f>
        <v>сентябрь</v>
      </c>
      <c r="D38" s="8"/>
      <c r="E38" s="8"/>
      <c r="F38" s="47">
        <f>'2016 год'!F64</f>
        <v>73425.75</v>
      </c>
    </row>
    <row r="39" spans="1:6">
      <c r="A39" s="66" t="str">
        <f>'2016 год'!A65:B65</f>
        <v>Планировка территории</v>
      </c>
      <c r="B39" s="67"/>
      <c r="C39" s="8" t="str">
        <f>'2016 год'!C65</f>
        <v>сентябрь</v>
      </c>
      <c r="D39" s="8"/>
      <c r="E39" s="8"/>
      <c r="F39" s="47">
        <f>'2016 год'!F65</f>
        <v>0</v>
      </c>
    </row>
    <row r="40" spans="1:6">
      <c r="A40" s="66" t="str">
        <f>'2016 год'!A66:B66</f>
        <v>Замена ст. отопления кв 42/44</v>
      </c>
      <c r="B40" s="67"/>
      <c r="C40" s="8" t="str">
        <f>'2016 год'!C66</f>
        <v>октябрь</v>
      </c>
      <c r="D40" s="8" t="str">
        <f>'2016 год'!D66</f>
        <v>м.п.</v>
      </c>
      <c r="E40" s="8">
        <f>'2016 год'!E66</f>
        <v>6</v>
      </c>
      <c r="F40" s="47">
        <f>'2016 год'!F66</f>
        <v>1235.69</v>
      </c>
    </row>
    <row r="41" spans="1:6">
      <c r="A41" s="66" t="str">
        <f>'2016 год'!A67:B67</f>
        <v>Прочистка вентиляции кв 1</v>
      </c>
      <c r="B41" s="67"/>
      <c r="C41" s="8" t="str">
        <f>'2016 год'!C67</f>
        <v>октябрь</v>
      </c>
      <c r="D41" s="8"/>
      <c r="E41" s="8"/>
      <c r="F41" s="47">
        <f>'2016 год'!F67</f>
        <v>10200</v>
      </c>
    </row>
    <row r="42" spans="1:6">
      <c r="A42" s="66" t="str">
        <f>'2016 год'!A68:B68</f>
        <v>Замена стояка отопления кв 42/подвал</v>
      </c>
      <c r="B42" s="67"/>
      <c r="C42" s="8" t="str">
        <f>'2016 год'!C68</f>
        <v>октябрь</v>
      </c>
      <c r="D42" s="8" t="str">
        <f>'2016 год'!D68</f>
        <v>м.п.</v>
      </c>
      <c r="E42" s="8">
        <f>'2016 год'!E68</f>
        <v>12</v>
      </c>
      <c r="F42" s="47">
        <f>'2016 год'!F68</f>
        <v>5509.11</v>
      </c>
    </row>
    <row r="43" spans="1:6">
      <c r="A43" s="66" t="str">
        <f>'2016 год'!A69:B69</f>
        <v>Прочистка вентиляции кв 26</v>
      </c>
      <c r="B43" s="67"/>
      <c r="C43" s="8" t="str">
        <f>'2016 год'!C69</f>
        <v>октябрь</v>
      </c>
      <c r="D43" s="8"/>
      <c r="E43" s="8"/>
      <c r="F43" s="47">
        <f>'2016 год'!F69</f>
        <v>7650</v>
      </c>
    </row>
    <row r="44" spans="1:6">
      <c r="A44" s="66" t="str">
        <f>'2016 год'!A70:B70</f>
        <v>Ремонт дверей 5п</v>
      </c>
      <c r="B44" s="67"/>
      <c r="C44" s="8" t="str">
        <f>'2016 год'!C70</f>
        <v>октябрь</v>
      </c>
      <c r="D44" s="8"/>
      <c r="E44" s="8"/>
      <c r="F44" s="47">
        <f>'2016 год'!F70</f>
        <v>320</v>
      </c>
    </row>
    <row r="45" spans="1:6">
      <c r="A45" s="66" t="str">
        <f>'2016 год'!A71:B71</f>
        <v>модернизация теплового узла (ср-ва жителей)</v>
      </c>
      <c r="B45" s="67"/>
      <c r="C45" s="8" t="str">
        <f>'2016 год'!C71</f>
        <v>октябрь</v>
      </c>
      <c r="D45" s="8"/>
      <c r="E45" s="8"/>
      <c r="F45" s="47">
        <f>'2016 год'!F71</f>
        <v>64657.84</v>
      </c>
    </row>
    <row r="46" spans="1:6">
      <c r="A46" s="66" t="str">
        <f>'2016 год'!A72:B72</f>
        <v>Модернизация теплового узла (ср-ва администрации)</v>
      </c>
      <c r="B46" s="67"/>
      <c r="C46" s="8" t="str">
        <f>'2016 год'!C72</f>
        <v>октябрь</v>
      </c>
      <c r="D46" s="8"/>
      <c r="E46" s="8"/>
      <c r="F46" s="47">
        <f>'2016 год'!F72</f>
        <v>123460</v>
      </c>
    </row>
    <row r="47" spans="1:6">
      <c r="A47" s="66" t="str">
        <f>'2016 год'!A73:B73</f>
        <v>Замена  ст. отопления кв 36-34</v>
      </c>
      <c r="B47" s="67"/>
      <c r="C47" s="8" t="str">
        <f>'2016 год'!C73</f>
        <v>октябрь</v>
      </c>
      <c r="D47" s="8" t="str">
        <f>'2016 год'!D73</f>
        <v>м.п.</v>
      </c>
      <c r="E47" s="8">
        <f>'2016 год'!E73</f>
        <v>12</v>
      </c>
      <c r="F47" s="47">
        <f>'2016 год'!F73</f>
        <v>4103.4399999999996</v>
      </c>
    </row>
    <row r="48" spans="1:6">
      <c r="A48" s="66" t="str">
        <f>'2016 год'!A74:B74</f>
        <v>Замена стояков отопления кв 46/48/50</v>
      </c>
      <c r="B48" s="67"/>
      <c r="C48" s="8" t="str">
        <f>'2016 год'!C74</f>
        <v>октябрь</v>
      </c>
      <c r="D48" s="8" t="str">
        <f>'2016 год'!D74</f>
        <v>м.п.</v>
      </c>
      <c r="E48" s="8">
        <f>'2016 год'!E74</f>
        <v>13</v>
      </c>
      <c r="F48" s="47">
        <f>'2016 год'!F74</f>
        <v>4624.0200000000004</v>
      </c>
    </row>
    <row r="49" spans="1:6">
      <c r="A49" s="66" t="str">
        <f>'2016 год'!A75:B75</f>
        <v>Установка замков</v>
      </c>
      <c r="B49" s="67"/>
      <c r="C49" s="8" t="str">
        <f>'2016 год'!C75</f>
        <v>ноябрь</v>
      </c>
      <c r="D49" s="8" t="str">
        <f>'2016 год'!D75</f>
        <v>шт.</v>
      </c>
      <c r="E49" s="8">
        <f>'2016 год'!E75</f>
        <v>2</v>
      </c>
      <c r="F49" s="47">
        <f>'2016 год'!F75</f>
        <v>800</v>
      </c>
    </row>
    <row r="50" spans="1:6">
      <c r="A50" s="66" t="str">
        <f>'2016 год'!A76:B76</f>
        <v>Замена стояков хгвс 42/цоколь/подвал</v>
      </c>
      <c r="B50" s="67"/>
      <c r="C50" s="8" t="str">
        <f>'2016 год'!C76</f>
        <v>ноябрь</v>
      </c>
      <c r="D50" s="8" t="str">
        <f>'2016 год'!D76</f>
        <v>м.п.</v>
      </c>
      <c r="E50" s="8">
        <f>'2016 год'!E76</f>
        <v>8</v>
      </c>
      <c r="F50" s="47">
        <f>'2016 год'!F76</f>
        <v>3297.65</v>
      </c>
    </row>
    <row r="51" spans="1:6">
      <c r="A51" s="66" t="str">
        <f>'2016 год'!A77:B77</f>
        <v>Прочистка канализации внутренней 2п</v>
      </c>
      <c r="B51" s="67"/>
      <c r="C51" s="8" t="str">
        <f>'2016 год'!C77</f>
        <v>ноябрь</v>
      </c>
      <c r="D51" s="8" t="str">
        <f>'2016 год'!D77</f>
        <v>м.п.</v>
      </c>
      <c r="E51" s="8">
        <f>'2016 год'!E77</f>
        <v>8</v>
      </c>
      <c r="F51" s="47">
        <f>'2016 год'!F77</f>
        <v>2076</v>
      </c>
    </row>
    <row r="52" spans="1:6" s="59" customFormat="1">
      <c r="A52" s="66" t="str">
        <f>'2016 год'!A78:B78</f>
        <v>Прочистка вентиляции кв 22</v>
      </c>
      <c r="B52" s="67"/>
      <c r="C52" s="8" t="str">
        <f>'2016 год'!C78</f>
        <v>декабрь</v>
      </c>
      <c r="D52" s="8"/>
      <c r="E52" s="8"/>
      <c r="F52" s="60">
        <f>'2016 год'!F78</f>
        <v>10200</v>
      </c>
    </row>
    <row r="53" spans="1:6" s="59" customFormat="1">
      <c r="A53" s="66" t="str">
        <f>'2016 год'!A79:B79</f>
        <v>Замена ламп светодиод 3п</v>
      </c>
      <c r="B53" s="67"/>
      <c r="C53" s="8" t="str">
        <f>'2016 год'!C79</f>
        <v>декабрь</v>
      </c>
      <c r="D53" s="8" t="str">
        <f>'2016 год'!D79</f>
        <v>шт.</v>
      </c>
      <c r="E53" s="8">
        <f>'2016 год'!E79</f>
        <v>1</v>
      </c>
      <c r="F53" s="60">
        <f>'2016 год'!F79</f>
        <v>138.88</v>
      </c>
    </row>
    <row r="54" spans="1:6" s="59" customFormat="1">
      <c r="A54" s="66" t="str">
        <f>'2016 год'!A80:B80</f>
        <v>Установка гирлянды</v>
      </c>
      <c r="B54" s="67"/>
      <c r="C54" s="8" t="str">
        <f>'2016 год'!C80</f>
        <v>декабрь</v>
      </c>
      <c r="D54" s="8" t="str">
        <f>'2016 год'!D80</f>
        <v>шт.</v>
      </c>
      <c r="E54" s="8">
        <f>'2016 год'!E80</f>
        <v>4</v>
      </c>
      <c r="F54" s="60">
        <f>'2016 год'!F80</f>
        <v>482</v>
      </c>
    </row>
    <row r="55" spans="1:6" s="59" customFormat="1">
      <c r="A55" s="66" t="str">
        <f>'2016 год'!A81:B81</f>
        <v>Освещение подъездов 7п</v>
      </c>
      <c r="B55" s="67"/>
      <c r="C55" s="8" t="str">
        <f>'2016 год'!C81</f>
        <v>декабрь</v>
      </c>
      <c r="D55" s="8" t="str">
        <f>'2016 год'!D81</f>
        <v>шт.</v>
      </c>
      <c r="E55" s="8">
        <f>'2016 год'!E81</f>
        <v>2</v>
      </c>
      <c r="F55" s="60">
        <f>'2016 год'!F81</f>
        <v>83.28</v>
      </c>
    </row>
    <row r="56" spans="1:6">
      <c r="A56" s="76" t="s">
        <v>101</v>
      </c>
      <c r="B56" s="87"/>
      <c r="C56" s="87"/>
      <c r="D56" s="87"/>
      <c r="E56" s="77"/>
      <c r="F56" s="46">
        <f>SUM(F18:F55)</f>
        <v>470811.08</v>
      </c>
    </row>
    <row r="57" spans="1:6">
      <c r="A57" s="76" t="s">
        <v>113</v>
      </c>
      <c r="B57" s="87"/>
      <c r="C57" s="87"/>
      <c r="D57" s="87"/>
      <c r="E57" s="77"/>
      <c r="F57" s="41">
        <f>F15+F56</f>
        <v>915974.06</v>
      </c>
    </row>
    <row r="58" spans="1:6">
      <c r="A58" s="76" t="s">
        <v>104</v>
      </c>
      <c r="B58" s="87"/>
      <c r="C58" s="87"/>
      <c r="D58" s="87"/>
      <c r="E58" s="77"/>
      <c r="F58" s="41">
        <f>F4+F5-F57</f>
        <v>138533.29999999981</v>
      </c>
    </row>
    <row r="59" spans="1:6">
      <c r="A59" s="101" t="s">
        <v>107</v>
      </c>
      <c r="B59" s="101"/>
      <c r="C59" s="101"/>
      <c r="D59" s="101"/>
      <c r="E59" s="101"/>
      <c r="F59" s="41">
        <f>F2+F58</f>
        <v>4638.3899999998102</v>
      </c>
    </row>
  </sheetData>
  <mergeCells count="59">
    <mergeCell ref="A45:B45"/>
    <mergeCell ref="A51:B51"/>
    <mergeCell ref="A46:B46"/>
    <mergeCell ref="A47:B47"/>
    <mergeCell ref="A48:B48"/>
    <mergeCell ref="A49:B49"/>
    <mergeCell ref="A50:B50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11:E11"/>
    <mergeCell ref="A12:E12"/>
    <mergeCell ref="A59:E59"/>
    <mergeCell ref="A14:E14"/>
    <mergeCell ref="A15:E15"/>
    <mergeCell ref="A16:F16"/>
    <mergeCell ref="A56:E56"/>
    <mergeCell ref="A57:E57"/>
    <mergeCell ref="A58:E58"/>
    <mergeCell ref="A17:B17"/>
    <mergeCell ref="A18:B18"/>
    <mergeCell ref="A19:B19"/>
    <mergeCell ref="A20:B20"/>
    <mergeCell ref="A21:B21"/>
    <mergeCell ref="A22:B22"/>
    <mergeCell ref="A23:B23"/>
    <mergeCell ref="A7:E7"/>
    <mergeCell ref="A5:E5"/>
    <mergeCell ref="A8:E8"/>
    <mergeCell ref="A9:E9"/>
    <mergeCell ref="A10:E10"/>
    <mergeCell ref="A1:F1"/>
    <mergeCell ref="A2:E2"/>
    <mergeCell ref="A3:E3"/>
    <mergeCell ref="A4:E4"/>
    <mergeCell ref="A6:F6"/>
    <mergeCell ref="A52:B52"/>
    <mergeCell ref="A53:B53"/>
    <mergeCell ref="A54:B54"/>
    <mergeCell ref="A55:B55"/>
    <mergeCell ref="A13:E1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8" right="0.19" top="0.38" bottom="0.21" header="0.18" footer="0.18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2016 год</vt:lpstr>
      <vt:lpstr>Лист1</vt:lpstr>
      <vt:lpstr>'2016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Gorbunov</dc:creator>
  <cp:lastModifiedBy>User</cp:lastModifiedBy>
  <cp:lastPrinted>2017-04-12T03:57:54Z</cp:lastPrinted>
  <dcterms:created xsi:type="dcterms:W3CDTF">2010-11-14T08:15:18Z</dcterms:created>
  <dcterms:modified xsi:type="dcterms:W3CDTF">2017-06-27T08:21:07Z</dcterms:modified>
</cp:coreProperties>
</file>