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 домам 2016 год\"/>
    </mc:Choice>
  </mc:AlternateContent>
  <bookViews>
    <workbookView xWindow="240" yWindow="105" windowWidth="15480" windowHeight="8130" activeTab="1"/>
  </bookViews>
  <sheets>
    <sheet name="2016" sheetId="1" r:id="rId1"/>
    <sheet name="Лист1" sheetId="2" r:id="rId2"/>
  </sheets>
  <definedNames>
    <definedName name="_xlnm.Print_Area" localSheetId="0">'2016'!$A$1:$O$68</definedName>
  </definedNames>
  <calcPr calcId="152511"/>
  <webPublishing codePage="65001"/>
</workbook>
</file>

<file path=xl/calcChain.xml><?xml version="1.0" encoding="utf-8"?>
<calcChain xmlns="http://schemas.openxmlformats.org/spreadsheetml/2006/main">
  <c r="C42" i="2" l="1"/>
  <c r="D42" i="2"/>
  <c r="E42" i="2"/>
  <c r="F42" i="2"/>
  <c r="A42" i="2"/>
  <c r="N29" i="1" l="1"/>
  <c r="O6" i="1" l="1"/>
  <c r="O8" i="1"/>
  <c r="O9" i="1"/>
  <c r="O14" i="1"/>
  <c r="N10" i="1" l="1"/>
  <c r="C7" i="1"/>
  <c r="A14" i="2" l="1"/>
  <c r="A9" i="2"/>
  <c r="A10" i="2"/>
  <c r="A11" i="2"/>
  <c r="A12" i="2"/>
  <c r="A13" i="2"/>
  <c r="A8" i="2"/>
  <c r="O28" i="1" l="1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C24" i="2"/>
  <c r="D24" i="2"/>
  <c r="E24" i="2"/>
  <c r="F24" i="2"/>
  <c r="C25" i="2"/>
  <c r="D25" i="2"/>
  <c r="E25" i="2"/>
  <c r="F25" i="2"/>
  <c r="C26" i="2"/>
  <c r="F26" i="2"/>
  <c r="C27" i="2"/>
  <c r="D27" i="2"/>
  <c r="E27" i="2"/>
  <c r="F27" i="2"/>
  <c r="C28" i="2"/>
  <c r="D28" i="2"/>
  <c r="E28" i="2"/>
  <c r="F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F32" i="2"/>
  <c r="C33" i="2"/>
  <c r="D33" i="2"/>
  <c r="E33" i="2"/>
  <c r="F33" i="2"/>
  <c r="C34" i="2"/>
  <c r="F34" i="2"/>
  <c r="C35" i="2"/>
  <c r="D35" i="2"/>
  <c r="F35" i="2"/>
  <c r="C36" i="2"/>
  <c r="F36" i="2"/>
  <c r="C37" i="2"/>
  <c r="F37" i="2"/>
  <c r="C38" i="2"/>
  <c r="F38" i="2"/>
  <c r="C39" i="2"/>
  <c r="F39" i="2"/>
  <c r="C40" i="2"/>
  <c r="D40" i="2"/>
  <c r="E40" i="2"/>
  <c r="F40" i="2"/>
  <c r="C41" i="2"/>
  <c r="D41" i="2"/>
  <c r="E41" i="2"/>
  <c r="F41" i="2"/>
  <c r="A36" i="2"/>
  <c r="A37" i="2"/>
  <c r="A38" i="2"/>
  <c r="A39" i="2"/>
  <c r="A40" i="2"/>
  <c r="A41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D18" i="2"/>
  <c r="E18" i="2"/>
  <c r="F18" i="2"/>
  <c r="C18" i="2"/>
  <c r="A18" i="2"/>
  <c r="F2" i="2"/>
  <c r="A7" i="2"/>
  <c r="A6" i="2"/>
  <c r="N25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N15" i="1"/>
  <c r="D16" i="1"/>
  <c r="E16" i="1"/>
  <c r="F16" i="1"/>
  <c r="G16" i="1"/>
  <c r="H16" i="1"/>
  <c r="I16" i="1"/>
  <c r="J16" i="1"/>
  <c r="K16" i="1"/>
  <c r="L16" i="1"/>
  <c r="M16" i="1"/>
  <c r="C16" i="1"/>
  <c r="O16" i="1" s="1"/>
  <c r="N30" i="1" l="1"/>
  <c r="F43" i="2"/>
  <c r="M25" i="1"/>
  <c r="M15" i="1"/>
  <c r="M30" i="1" s="1"/>
  <c r="L29" i="1" l="1"/>
  <c r="L26" i="1"/>
  <c r="L25" i="1" l="1"/>
  <c r="L23" i="1"/>
  <c r="L22" i="1"/>
  <c r="L21" i="1"/>
  <c r="L20" i="1"/>
  <c r="L19" i="1"/>
  <c r="L18" i="1"/>
  <c r="L17" i="1"/>
  <c r="L15" i="1"/>
  <c r="L30" i="1" l="1"/>
  <c r="K29" i="1"/>
  <c r="K25" i="1" l="1"/>
  <c r="K23" i="1"/>
  <c r="K22" i="1"/>
  <c r="K21" i="1"/>
  <c r="K20" i="1"/>
  <c r="K19" i="1"/>
  <c r="K18" i="1"/>
  <c r="K17" i="1"/>
  <c r="K15" i="1"/>
  <c r="J29" i="1"/>
  <c r="K30" i="1" l="1"/>
  <c r="J25" i="1"/>
  <c r="J23" i="1"/>
  <c r="J22" i="1"/>
  <c r="J21" i="1"/>
  <c r="J20" i="1"/>
  <c r="J19" i="1"/>
  <c r="J18" i="1"/>
  <c r="J17" i="1"/>
  <c r="J15" i="1"/>
  <c r="J30" i="1" l="1"/>
  <c r="D17" i="1"/>
  <c r="E17" i="1"/>
  <c r="F17" i="1"/>
  <c r="G17" i="1"/>
  <c r="H17" i="1"/>
  <c r="I17" i="1"/>
  <c r="C17" i="1"/>
  <c r="O17" i="1" s="1"/>
  <c r="H29" i="1" l="1"/>
  <c r="I25" i="1"/>
  <c r="O25" i="1" s="1"/>
  <c r="F12" i="2" s="1"/>
  <c r="H15" i="1" l="1"/>
  <c r="F67" i="1"/>
  <c r="G29" i="1"/>
  <c r="F29" i="1"/>
  <c r="D29" i="1"/>
  <c r="C29" i="1"/>
  <c r="O29" i="1" l="1"/>
  <c r="O27" i="1"/>
  <c r="F14" i="2" s="1"/>
  <c r="O24" i="1"/>
  <c r="F11" i="2" s="1"/>
  <c r="O5" i="1"/>
  <c r="I23" i="1" l="1"/>
  <c r="I22" i="1"/>
  <c r="D21" i="1"/>
  <c r="E21" i="1"/>
  <c r="F21" i="1"/>
  <c r="G21" i="1"/>
  <c r="H21" i="1"/>
  <c r="I21" i="1"/>
  <c r="C21" i="1"/>
  <c r="I20" i="1"/>
  <c r="I19" i="1"/>
  <c r="I18" i="1"/>
  <c r="I15" i="1"/>
  <c r="I30" i="1" l="1"/>
  <c r="O21" i="1"/>
  <c r="F8" i="2" s="1"/>
  <c r="H23" i="1"/>
  <c r="H22" i="1"/>
  <c r="H20" i="1"/>
  <c r="H19" i="1"/>
  <c r="H18" i="1"/>
  <c r="H30" i="1" l="1"/>
  <c r="G23" i="1"/>
  <c r="G22" i="1"/>
  <c r="G20" i="1"/>
  <c r="G19" i="1"/>
  <c r="G18" i="1"/>
  <c r="G15" i="1"/>
  <c r="G30" i="1" l="1"/>
  <c r="E26" i="1"/>
  <c r="D26" i="1"/>
  <c r="O26" i="1" l="1"/>
  <c r="F13" i="2" s="1"/>
  <c r="C12" i="1"/>
  <c r="C11" i="1"/>
  <c r="D23" i="1" l="1"/>
  <c r="E23" i="1"/>
  <c r="F23" i="1"/>
  <c r="C23" i="1"/>
  <c r="D22" i="1"/>
  <c r="E22" i="1"/>
  <c r="F22" i="1"/>
  <c r="C22" i="1"/>
  <c r="D20" i="1"/>
  <c r="E20" i="1"/>
  <c r="F20" i="1"/>
  <c r="C20" i="1"/>
  <c r="D19" i="1"/>
  <c r="E19" i="1"/>
  <c r="F19" i="1"/>
  <c r="C19" i="1"/>
  <c r="D18" i="1"/>
  <c r="E18" i="1"/>
  <c r="F18" i="1"/>
  <c r="C18" i="1"/>
  <c r="D15" i="1"/>
  <c r="D30" i="1" s="1"/>
  <c r="E15" i="1"/>
  <c r="E30" i="1" s="1"/>
  <c r="F15" i="1"/>
  <c r="F30" i="1" s="1"/>
  <c r="C15" i="1"/>
  <c r="O18" i="1" l="1"/>
  <c r="C30" i="1"/>
  <c r="O30" i="1" s="1"/>
  <c r="O15" i="1"/>
  <c r="F6" i="2" s="1"/>
  <c r="O22" i="1"/>
  <c r="F9" i="2" s="1"/>
  <c r="O23" i="1"/>
  <c r="F10" i="2" s="1"/>
  <c r="O19" i="1"/>
  <c r="O20" i="1"/>
  <c r="F7" i="2"/>
  <c r="C31" i="1" l="1"/>
  <c r="F15" i="2"/>
  <c r="F44" i="2" s="1"/>
  <c r="P30" i="1" s="1"/>
  <c r="C10" i="1"/>
  <c r="D12" i="1"/>
  <c r="E12" i="1"/>
  <c r="E31" i="1" s="1"/>
  <c r="F12" i="1"/>
  <c r="F31" i="1" s="1"/>
  <c r="G12" i="1"/>
  <c r="G31" i="1" s="1"/>
  <c r="H12" i="1"/>
  <c r="H31" i="1" s="1"/>
  <c r="I12" i="1"/>
  <c r="I31" i="1" s="1"/>
  <c r="J12" i="1"/>
  <c r="J31" i="1" s="1"/>
  <c r="K12" i="1"/>
  <c r="K31" i="1" s="1"/>
  <c r="L12" i="1"/>
  <c r="L31" i="1" s="1"/>
  <c r="M12" i="1"/>
  <c r="M31" i="1" s="1"/>
  <c r="N12" i="1"/>
  <c r="N31" i="1" s="1"/>
  <c r="D11" i="1"/>
  <c r="E11" i="1"/>
  <c r="F11" i="1"/>
  <c r="G11" i="1"/>
  <c r="H11" i="1"/>
  <c r="I11" i="1"/>
  <c r="J11" i="1"/>
  <c r="K11" i="1"/>
  <c r="L11" i="1"/>
  <c r="M11" i="1"/>
  <c r="N11" i="1"/>
  <c r="D31" i="1" l="1"/>
  <c r="O12" i="1"/>
  <c r="F4" i="2" s="1"/>
  <c r="O11" i="1"/>
  <c r="F3" i="2" s="1"/>
  <c r="O31" i="1"/>
  <c r="L13" i="1"/>
  <c r="J13" i="1"/>
  <c r="H13" i="1"/>
  <c r="F13" i="1"/>
  <c r="D13" i="1"/>
  <c r="G13" i="1"/>
  <c r="E13" i="1"/>
  <c r="C13" i="1"/>
  <c r="M13" i="1"/>
  <c r="K13" i="1"/>
  <c r="I13" i="1"/>
  <c r="N13" i="1"/>
  <c r="O13" i="1" l="1"/>
  <c r="D10" i="1"/>
  <c r="E10" i="1"/>
  <c r="F10" i="1"/>
  <c r="G10" i="1"/>
  <c r="H10" i="1"/>
  <c r="I10" i="1"/>
  <c r="J10" i="1"/>
  <c r="K10" i="1"/>
  <c r="L10" i="1"/>
  <c r="M10" i="1"/>
  <c r="F7" i="1"/>
  <c r="G7" i="1"/>
  <c r="H7" i="1"/>
  <c r="I7" i="1"/>
  <c r="J7" i="1"/>
  <c r="K7" i="1"/>
  <c r="L7" i="1"/>
  <c r="M7" i="1"/>
  <c r="N7" i="1"/>
  <c r="E7" i="1"/>
  <c r="O10" i="1" l="1"/>
  <c r="D7" i="1"/>
  <c r="O7" i="1" s="1"/>
  <c r="N37" i="1" l="1"/>
  <c r="N39" i="1" l="1"/>
  <c r="F46" i="2" s="1"/>
  <c r="F45" i="2"/>
</calcChain>
</file>

<file path=xl/sharedStrings.xml><?xml version="1.0" encoding="utf-8"?>
<sst xmlns="http://schemas.openxmlformats.org/spreadsheetml/2006/main" count="144" uniqueCount="106">
  <si>
    <t>Адрес</t>
  </si>
  <si>
    <t>Площадь</t>
  </si>
  <si>
    <t>Тариф 100%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</si>
  <si>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</si>
  <si>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</si>
  <si>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</si>
  <si>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</si>
  <si>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</si>
  <si>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</si>
  <si>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</si>
  <si>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</si>
  <si>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</si>
  <si>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</si>
  <si>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</si>
  <si>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</si>
  <si>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</si>
  <si>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</si>
  <si>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оплачено</t>
  </si>
  <si>
    <t>задолженность (-),
 переплата (+)</t>
  </si>
  <si>
    <t>Начислено</t>
  </si>
  <si>
    <t>начислено</t>
  </si>
  <si>
    <t>Оплачено</t>
  </si>
  <si>
    <t xml:space="preserve">РАСХОДЫ ПО МКД </t>
  </si>
  <si>
    <t>ИТОГО РАСХОДОВ</t>
  </si>
  <si>
    <t>Наименование</t>
  </si>
  <si>
    <t>Месяц</t>
  </si>
  <si>
    <t>Сумма</t>
  </si>
  <si>
    <t>ИТОГО</t>
  </si>
  <si>
    <t>Директор ООО "Комфорт"                                                        И.А. Кодряну</t>
  </si>
  <si>
    <t>Капитальный ремонт</t>
  </si>
  <si>
    <t>ул.  Дзержинского 21</t>
  </si>
  <si>
    <t>НАЧИСЛЕНИЕ 2016 год</t>
  </si>
  <si>
    <t>Текущий ремонт 2016 год</t>
  </si>
  <si>
    <t>Ремонт ливневки</t>
  </si>
  <si>
    <t>Замена стояков кв 4/10</t>
  </si>
  <si>
    <t>январь</t>
  </si>
  <si>
    <t>Освещение 3п. 3эт. (светильник лампа)</t>
  </si>
  <si>
    <t>Замена ст отопления кв 43/45</t>
  </si>
  <si>
    <t>февраль</t>
  </si>
  <si>
    <t>замена ламп 3п 1,3 эт</t>
  </si>
  <si>
    <t>Ремонт подъездов</t>
  </si>
  <si>
    <t>апрель</t>
  </si>
  <si>
    <t>Установка радиаторов отопления</t>
  </si>
  <si>
    <t>Ед. изм</t>
  </si>
  <si>
    <t>Кол-во</t>
  </si>
  <si>
    <t xml:space="preserve"> м.п.</t>
  </si>
  <si>
    <t>Смена ламп 2п 1 эт</t>
  </si>
  <si>
    <t>Демонтаж мусоропровода, ремонт пола 2п. 2эт</t>
  </si>
  <si>
    <t>Светильник 2,3 п</t>
  </si>
  <si>
    <t>Светильник 2 п</t>
  </si>
  <si>
    <t>Светильник 3п</t>
  </si>
  <si>
    <t>Замена лампы 1п 2эт , 2п 1эт</t>
  </si>
  <si>
    <t>май</t>
  </si>
  <si>
    <t>Благоустройство придомовой территории (доломит)</t>
  </si>
  <si>
    <t>ФИНАНСОВЫЙ РЕЗУЛЬТАТ</t>
  </si>
  <si>
    <t>Финансовый результат 2015 год</t>
  </si>
  <si>
    <t>Финансовый результат 2016 год</t>
  </si>
  <si>
    <t>Содержание жилья</t>
  </si>
  <si>
    <t>Интернет провайдеры (ИП Бабенко, КТС, ИП Яковлев)</t>
  </si>
  <si>
    <t>в т.ч. 2.1. Содержание внутридомовых инженерных сетей водоснабжения и водоотведения (0.67 руб.с кв.м.)</t>
  </si>
  <si>
    <t>в т.ч. 2.2. Содержание внутридомовых инженерных сетей центрального отопления (0.66 руб.с кв.м.)</t>
  </si>
  <si>
    <t>в т.ч. 2.3. Содержание строительных конструкций (0.8 руб.с кв.м.)</t>
  </si>
  <si>
    <t>в т.ч. 2.4. Содержание внутридомовых инженерных сетей электроснабжения (0.52 руб.с кв.м.)</t>
  </si>
  <si>
    <t>3. Услуги по начислению и сбору платежей (0,64 руб.с кв.м)</t>
  </si>
  <si>
    <t>4. Санитарное содержание мест общего пользования (2,64 руб.с кв.м)</t>
  </si>
  <si>
    <t>1. Услуга по управлению (1,38 руб.с кв.м)</t>
  </si>
  <si>
    <t>шт.</t>
  </si>
  <si>
    <t>м.п.</t>
  </si>
  <si>
    <t>5. АВР - диспетчерская служба (1,61 руб.с кв.м)</t>
  </si>
  <si>
    <t>6. Техническое обслуживание узла учета</t>
  </si>
  <si>
    <t>Ремонт лавочек</t>
  </si>
  <si>
    <t>июнь</t>
  </si>
  <si>
    <t>7. Паспортный стол (0,20 руб.с кв.м)</t>
  </si>
  <si>
    <t>8. Механизированная уборка придомовой территории (1800 руб/час)</t>
  </si>
  <si>
    <t>9. Очистка кровли</t>
  </si>
  <si>
    <t>10. Материалы, инвентарь</t>
  </si>
  <si>
    <t>11. Текущий ремонт</t>
  </si>
  <si>
    <t>Ремонт фасада (лоджия) штукатурка пелястры</t>
  </si>
  <si>
    <t>август</t>
  </si>
  <si>
    <t>Замена светильника 2п1эт</t>
  </si>
  <si>
    <t>сентябрь</t>
  </si>
  <si>
    <t>Ремонт ст.п/сушителя (подвал)</t>
  </si>
  <si>
    <t>Замена кабеля наружного освещения</t>
  </si>
  <si>
    <t>Замена светильника 2п 2эт</t>
  </si>
  <si>
    <t>Асфальтирование придомовой территории</t>
  </si>
  <si>
    <t>Ремонт кровли</t>
  </si>
  <si>
    <t>октябрь</t>
  </si>
  <si>
    <t>Установка замков</t>
  </si>
  <si>
    <t>ноябрь</t>
  </si>
  <si>
    <t>ФИНАНСОВЫЙ РЕЗУЛЬТАТ 2016 ГОД</t>
  </si>
  <si>
    <t>Переходящие остатки денежных средств на начало периода (Финансовый результат 2015 год):</t>
  </si>
  <si>
    <t>Оплачено денежных средств:</t>
  </si>
  <si>
    <t>Выполненные  работы (оказанные услуги) по содержанию общего имущества и текущему ремонту за 2016 год</t>
  </si>
  <si>
    <t>И Т О Г О:</t>
  </si>
  <si>
    <t>Ед. изм.</t>
  </si>
  <si>
    <t>Объем</t>
  </si>
  <si>
    <t>Сумма, руб.</t>
  </si>
  <si>
    <t>ФИНАНСОВЫЙ РЕЗУЛЬТАТ:</t>
  </si>
  <si>
    <t>Переходящие остатки денежных средств на конец периода (Финансовый результат 2016 год)</t>
  </si>
  <si>
    <t>2. Техническое обслуживание (2,65 руб.с кв.м)</t>
  </si>
  <si>
    <t>10. Текущий ремонт (наименование работ)</t>
  </si>
  <si>
    <t>Начислено денежных средств:</t>
  </si>
  <si>
    <t>ВСЕГО РАСХОДОВ:</t>
  </si>
  <si>
    <t>Замена стояка отопления кв 31/34</t>
  </si>
  <si>
    <t>декабрь</t>
  </si>
  <si>
    <t>Замена ст хгвс п/суш кв 27,30,33,36,39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</si>
</sst>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F_-;\-* #,##0\ _F_-;_-* &quot;-&quot;\ _F_-;_-@_-"/>
    <numFmt numFmtId="165" formatCode="_-* #,##0.00\ _F_-;\-* #,##0.00\ _F_-;_-* &quot;-&quot;??\ _F_-;_-@_-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Helvetica-Narrow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2" fillId="0" borderId="0">
      <alignment horizontal="center" vertical="center"/>
    </xf>
    <xf numFmtId="0" fontId="4" fillId="0" borderId="0">
      <alignment horizontal="left" vertical="top"/>
    </xf>
    <xf numFmtId="0" fontId="3" fillId="0" borderId="0">
      <alignment horizontal="right" vertical="center"/>
    </xf>
    <xf numFmtId="0" fontId="3" fillId="4" borderId="0">
      <alignment horizontal="right" vertical="center"/>
    </xf>
    <xf numFmtId="0" fontId="4" fillId="0" borderId="0">
      <alignment horizontal="right" vertical="top"/>
    </xf>
    <xf numFmtId="0" fontId="3" fillId="5" borderId="0">
      <alignment horizontal="right" vertical="center"/>
    </xf>
    <xf numFmtId="0" fontId="3" fillId="2" borderId="0">
      <alignment horizontal="right" vertical="center"/>
    </xf>
    <xf numFmtId="0" fontId="3" fillId="2" borderId="0">
      <alignment horizontal="left" vertical="center"/>
    </xf>
    <xf numFmtId="0" fontId="5" fillId="0" borderId="0">
      <alignment horizontal="right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5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4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3" borderId="0">
      <alignment horizontal="center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3" fillId="6" borderId="0">
      <alignment horizontal="right" vertical="center"/>
    </xf>
    <xf numFmtId="0" fontId="1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7">
    <xf numFmtId="0" fontId="0" fillId="0" borderId="0" xfId="0"/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7" fillId="7" borderId="1" xfId="22" applyNumberFormat="1" applyFont="1" applyFill="1" applyBorder="1" applyAlignment="1" applyProtection="1">
      <alignment horizontal="center" vertical="center" wrapText="1"/>
    </xf>
    <xf numFmtId="4" fontId="8" fillId="7" borderId="1" xfId="22" applyNumberFormat="1" applyFont="1" applyFill="1" applyBorder="1" applyAlignment="1" applyProtection="1">
      <alignment horizontal="center" vertical="center" wrapText="1"/>
    </xf>
    <xf numFmtId="4" fontId="7" fillId="10" borderId="1" xfId="22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1" fillId="7" borderId="1" xfId="0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horizontal="center" vertical="center" wrapText="1"/>
    </xf>
    <xf numFmtId="4" fontId="7" fillId="10" borderId="1" xfId="0" applyNumberFormat="1" applyFont="1" applyFill="1" applyBorder="1" applyAlignment="1" applyProtection="1">
      <alignment horizontal="center" vertical="center" wrapText="1"/>
    </xf>
    <xf numFmtId="4" fontId="10" fillId="10" borderId="0" xfId="0" applyNumberFormat="1" applyFont="1" applyFill="1" applyAlignment="1">
      <alignment horizontal="center" vertical="center" wrapText="1"/>
    </xf>
    <xf numFmtId="4" fontId="12" fillId="7" borderId="1" xfId="0" applyNumberFormat="1" applyFont="1" applyFill="1" applyBorder="1" applyAlignment="1" applyProtection="1">
      <alignment horizontal="center" vertical="center" wrapText="1"/>
    </xf>
    <xf numFmtId="4" fontId="7" fillId="9" borderId="1" xfId="0" applyNumberFormat="1" applyFont="1" applyFill="1" applyBorder="1" applyAlignment="1" applyProtection="1">
      <alignment horizontal="center" vertical="center" wrapText="1"/>
    </xf>
    <xf numFmtId="4" fontId="10" fillId="9" borderId="0" xfId="0" applyNumberFormat="1" applyFont="1" applyFill="1" applyAlignment="1">
      <alignment horizontal="center" vertical="center" wrapText="1"/>
    </xf>
    <xf numFmtId="4" fontId="7" fillId="8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top"/>
    </xf>
    <xf numFmtId="4" fontId="9" fillId="11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left" vertical="center" wrapText="1"/>
    </xf>
    <xf numFmtId="4" fontId="9" fillId="0" borderId="6" xfId="0" applyNumberFormat="1" applyFont="1" applyBorder="1" applyAlignment="1">
      <alignment horizontal="left" vertical="center" wrapText="1"/>
    </xf>
    <xf numFmtId="4" fontId="7" fillId="7" borderId="5" xfId="22" applyNumberFormat="1" applyFont="1" applyFill="1" applyBorder="1" applyAlignment="1" applyProtection="1">
      <alignment horizontal="left" vertical="center" wrapText="1"/>
    </xf>
    <xf numFmtId="4" fontId="7" fillId="7" borderId="6" xfId="22" applyNumberFormat="1" applyFont="1" applyFill="1" applyBorder="1" applyAlignment="1" applyProtection="1">
      <alignment horizontal="left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7" fillId="9" borderId="5" xfId="22" applyNumberFormat="1" applyFont="1" applyFill="1" applyBorder="1" applyAlignment="1" applyProtection="1">
      <alignment horizontal="center" vertical="center" wrapText="1"/>
    </xf>
    <xf numFmtId="4" fontId="7" fillId="9" borderId="6" xfId="22" applyNumberFormat="1" applyFont="1" applyFill="1" applyBorder="1" applyAlignment="1" applyProtection="1">
      <alignment horizontal="center" vertical="center" wrapText="1"/>
    </xf>
    <xf numFmtId="4" fontId="7" fillId="8" borderId="5" xfId="22" applyNumberFormat="1" applyFont="1" applyFill="1" applyBorder="1" applyAlignment="1" applyProtection="1">
      <alignment horizontal="center" vertical="center" wrapText="1"/>
    </xf>
    <xf numFmtId="4" fontId="7" fillId="8" borderId="6" xfId="22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12" fillId="7" borderId="5" xfId="22" applyNumberFormat="1" applyFont="1" applyFill="1" applyBorder="1" applyAlignment="1" applyProtection="1">
      <alignment horizontal="left" vertical="center" wrapText="1"/>
    </xf>
    <xf numFmtId="4" fontId="12" fillId="7" borderId="6" xfId="22" applyNumberFormat="1" applyFont="1" applyFill="1" applyBorder="1" applyAlignment="1" applyProtection="1">
      <alignment horizontal="left" vertical="center" wrapText="1"/>
    </xf>
    <xf numFmtId="4" fontId="7" fillId="7" borderId="2" xfId="22" applyNumberFormat="1" applyFont="1" applyFill="1" applyBorder="1" applyAlignment="1" applyProtection="1">
      <alignment horizontal="center" vertical="center" wrapText="1"/>
    </xf>
    <xf numFmtId="4" fontId="7" fillId="7" borderId="3" xfId="22" applyNumberFormat="1" applyFont="1" applyFill="1" applyBorder="1" applyAlignment="1" applyProtection="1">
      <alignment horizontal="center" vertical="center" wrapText="1"/>
    </xf>
    <xf numFmtId="4" fontId="7" fillId="7" borderId="4" xfId="22" applyNumberFormat="1" applyFont="1" applyFill="1" applyBorder="1" applyAlignment="1" applyProtection="1">
      <alignment horizontal="center" vertical="center" wrapText="1"/>
    </xf>
    <xf numFmtId="4" fontId="7" fillId="7" borderId="1" xfId="22" applyNumberFormat="1" applyFont="1" applyFill="1" applyBorder="1" applyAlignment="1" applyProtection="1">
      <alignment horizontal="left" vertical="center" wrapText="1"/>
    </xf>
    <xf numFmtId="4" fontId="7" fillId="7" borderId="5" xfId="22" applyNumberFormat="1" applyFont="1" applyFill="1" applyBorder="1" applyAlignment="1" applyProtection="1">
      <alignment horizontal="center" vertical="center" wrapText="1"/>
    </xf>
    <xf numFmtId="4" fontId="7" fillId="7" borderId="7" xfId="22" applyNumberFormat="1" applyFont="1" applyFill="1" applyBorder="1" applyAlignment="1" applyProtection="1">
      <alignment horizontal="center" vertical="center" wrapText="1"/>
    </xf>
    <xf numFmtId="4" fontId="7" fillId="7" borderId="6" xfId="22" applyNumberFormat="1" applyFont="1" applyFill="1" applyBorder="1" applyAlignment="1" applyProtection="1">
      <alignment horizontal="center" vertical="center" wrapText="1"/>
    </xf>
    <xf numFmtId="4" fontId="7" fillId="7" borderId="1" xfId="0" applyNumberFormat="1" applyFont="1" applyFill="1" applyBorder="1" applyAlignment="1" applyProtection="1">
      <alignment horizontal="center" vertical="center" wrapText="1"/>
    </xf>
    <xf numFmtId="4" fontId="7" fillId="7" borderId="1" xfId="22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top" wrapText="1"/>
    </xf>
  </cellXfs>
  <cellStyles count="25">
    <cellStyle name="S0" xfId="1"/>
    <cellStyle name="S1" xfId="2"/>
    <cellStyle name="S11" xfId="3"/>
    <cellStyle name="S12" xfId="4"/>
    <cellStyle name="S13" xfId="5"/>
    <cellStyle name="S14" xfId="6"/>
    <cellStyle name="S15" xfId="7"/>
    <cellStyle name="S16" xfId="8"/>
    <cellStyle name="S17" xfId="9"/>
    <cellStyle name="S18" xfId="10"/>
    <cellStyle name="S19" xfId="11"/>
    <cellStyle name="S2" xfId="12"/>
    <cellStyle name="S20" xfId="13"/>
    <cellStyle name="S21" xfId="14"/>
    <cellStyle name="S3" xfId="15"/>
    <cellStyle name="S4" xfId="16"/>
    <cellStyle name="S5" xfId="17"/>
    <cellStyle name="S6" xfId="18"/>
    <cellStyle name="S7" xfId="19"/>
    <cellStyle name="S8" xfId="20"/>
    <cellStyle name="S9" xfId="21"/>
    <cellStyle name="Обычный" xfId="0" builtinId="0"/>
    <cellStyle name="Обычный 2" xfId="22"/>
    <cellStyle name="Тысячи [0]_Example " xfId="23"/>
    <cellStyle name="Тысячи_Example 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view="pageBreakPreview" zoomScale="80" zoomScaleNormal="100" zoomScaleSheetLayoutView="80" workbookViewId="0">
      <pane ySplit="1" topLeftCell="A28" activePane="bottomLeft" state="frozen"/>
      <selection pane="bottomLeft" activeCell="I49" sqref="I49"/>
    </sheetView>
  </sheetViews>
  <sheetFormatPr defaultColWidth="9.140625" defaultRowHeight="15.75"/>
  <cols>
    <col min="1" max="1" width="20.28515625" style="6" customWidth="1"/>
    <col min="2" max="2" width="20.28515625" style="6" bestFit="1" customWidth="1"/>
    <col min="3" max="5" width="10.140625" style="6" bestFit="1" customWidth="1"/>
    <col min="6" max="6" width="12" style="6" bestFit="1" customWidth="1"/>
    <col min="7" max="7" width="11" style="6" bestFit="1" customWidth="1"/>
    <col min="8" max="9" width="10.140625" style="6" bestFit="1" customWidth="1"/>
    <col min="10" max="10" width="12.28515625" style="6" customWidth="1"/>
    <col min="11" max="11" width="11" style="6" bestFit="1" customWidth="1"/>
    <col min="12" max="12" width="11.7109375" style="6" customWidth="1"/>
    <col min="13" max="13" width="10.7109375" style="6" customWidth="1"/>
    <col min="14" max="15" width="12" style="6" bestFit="1" customWidth="1"/>
    <col min="16" max="16" width="11.7109375" style="6" customWidth="1"/>
    <col min="17" max="16384" width="9.140625" style="6"/>
  </cols>
  <sheetData>
    <row r="1" spans="1:15">
      <c r="A1" s="63" t="s">
        <v>31</v>
      </c>
      <c r="B1" s="63"/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62" t="s">
        <v>16</v>
      </c>
    </row>
    <row r="2" spans="1:15">
      <c r="A2" s="63" t="s">
        <v>0</v>
      </c>
      <c r="B2" s="63"/>
      <c r="C2" s="62" t="s">
        <v>30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>
      <c r="A3" s="63" t="s">
        <v>1</v>
      </c>
      <c r="B3" s="63"/>
      <c r="C3" s="7">
        <v>2729</v>
      </c>
      <c r="D3" s="7">
        <v>2729</v>
      </c>
      <c r="E3" s="7">
        <v>2729</v>
      </c>
      <c r="F3" s="7">
        <v>2729</v>
      </c>
      <c r="G3" s="7">
        <v>2729</v>
      </c>
      <c r="H3" s="7">
        <v>2729</v>
      </c>
      <c r="I3" s="7">
        <v>2729</v>
      </c>
      <c r="J3" s="7">
        <v>2729</v>
      </c>
      <c r="K3" s="7">
        <v>2729</v>
      </c>
      <c r="L3" s="7">
        <v>2729</v>
      </c>
      <c r="M3" s="7">
        <v>2729</v>
      </c>
      <c r="N3" s="7">
        <v>2729</v>
      </c>
      <c r="O3" s="8"/>
    </row>
    <row r="4" spans="1:15">
      <c r="A4" s="63" t="s">
        <v>2</v>
      </c>
      <c r="B4" s="63"/>
      <c r="C4" s="7">
        <v>12.57</v>
      </c>
      <c r="D4" s="7">
        <v>12.57</v>
      </c>
      <c r="E4" s="7">
        <v>12.57</v>
      </c>
      <c r="F4" s="7">
        <v>14</v>
      </c>
      <c r="G4" s="7">
        <v>14</v>
      </c>
      <c r="H4" s="7">
        <v>14</v>
      </c>
      <c r="I4" s="7">
        <v>14</v>
      </c>
      <c r="J4" s="7">
        <v>14</v>
      </c>
      <c r="K4" s="7">
        <v>14</v>
      </c>
      <c r="L4" s="7">
        <v>14</v>
      </c>
      <c r="M4" s="7">
        <v>14</v>
      </c>
      <c r="N4" s="7">
        <v>14</v>
      </c>
      <c r="O4" s="8"/>
    </row>
    <row r="5" spans="1:15">
      <c r="A5" s="55" t="s">
        <v>57</v>
      </c>
      <c r="B5" s="4" t="s">
        <v>20</v>
      </c>
      <c r="C5" s="8">
        <v>34304.83</v>
      </c>
      <c r="D5" s="8">
        <v>34304.83</v>
      </c>
      <c r="E5" s="8">
        <v>34304.83</v>
      </c>
      <c r="F5" s="8">
        <v>34304.83</v>
      </c>
      <c r="G5" s="8">
        <v>42109.97</v>
      </c>
      <c r="H5" s="8">
        <v>38207.4</v>
      </c>
      <c r="I5" s="8">
        <v>38207.4</v>
      </c>
      <c r="J5" s="8">
        <v>38207.4</v>
      </c>
      <c r="K5" s="8">
        <v>38207.4</v>
      </c>
      <c r="L5" s="8">
        <v>38207.4</v>
      </c>
      <c r="M5" s="8">
        <v>38207.4</v>
      </c>
      <c r="N5" s="8">
        <v>38207.4</v>
      </c>
      <c r="O5" s="8">
        <f>SUM(C5:N5)</f>
        <v>446781.09000000008</v>
      </c>
    </row>
    <row r="6" spans="1:15">
      <c r="A6" s="56"/>
      <c r="B6" s="4" t="s">
        <v>17</v>
      </c>
      <c r="C6" s="8">
        <v>33091.980000000003</v>
      </c>
      <c r="D6" s="8">
        <v>33091.980000000003</v>
      </c>
      <c r="E6" s="8">
        <v>33091.980000000003</v>
      </c>
      <c r="F6" s="8">
        <v>33091.980000000003</v>
      </c>
      <c r="G6" s="8">
        <v>33091.980000000003</v>
      </c>
      <c r="H6" s="8">
        <v>33091.980000000003</v>
      </c>
      <c r="I6" s="8">
        <v>33091.980000000003</v>
      </c>
      <c r="J6" s="8">
        <v>33091.980000000003</v>
      </c>
      <c r="K6" s="8">
        <v>33091.980000000003</v>
      </c>
      <c r="L6" s="8">
        <v>33091.980000000003</v>
      </c>
      <c r="M6" s="8">
        <v>33091.980000000003</v>
      </c>
      <c r="N6" s="8">
        <v>57034.879999999997</v>
      </c>
      <c r="O6" s="8">
        <f t="shared" ref="O6:O18" si="0">SUM(C6:N6)</f>
        <v>421046.66</v>
      </c>
    </row>
    <row r="7" spans="1:15" s="10" customFormat="1" ht="31.5">
      <c r="A7" s="57"/>
      <c r="B7" s="5" t="s">
        <v>18</v>
      </c>
      <c r="C7" s="9">
        <f>C6-C5</f>
        <v>-1212.8499999999985</v>
      </c>
      <c r="D7" s="9">
        <f t="shared" ref="D7" si="1">D5-D6</f>
        <v>1212.8499999999985</v>
      </c>
      <c r="E7" s="9">
        <f>E6-E5</f>
        <v>-1212.8499999999985</v>
      </c>
      <c r="F7" s="9">
        <f t="shared" ref="F7:N7" si="2">F6-F5</f>
        <v>-1212.8499999999985</v>
      </c>
      <c r="G7" s="9">
        <f t="shared" si="2"/>
        <v>-9017.989999999998</v>
      </c>
      <c r="H7" s="9">
        <f t="shared" si="2"/>
        <v>-5115.4199999999983</v>
      </c>
      <c r="I7" s="9">
        <f t="shared" si="2"/>
        <v>-5115.4199999999983</v>
      </c>
      <c r="J7" s="9">
        <f t="shared" si="2"/>
        <v>-5115.4199999999983</v>
      </c>
      <c r="K7" s="9">
        <f t="shared" si="2"/>
        <v>-5115.4199999999983</v>
      </c>
      <c r="L7" s="9">
        <f t="shared" si="2"/>
        <v>-5115.4199999999983</v>
      </c>
      <c r="M7" s="9">
        <f t="shared" si="2"/>
        <v>-5115.4199999999983</v>
      </c>
      <c r="N7" s="9">
        <f t="shared" si="2"/>
        <v>18827.479999999996</v>
      </c>
      <c r="O7" s="8">
        <f t="shared" si="0"/>
        <v>-23308.729999999989</v>
      </c>
    </row>
    <row r="8" spans="1:15">
      <c r="A8" s="55" t="s">
        <v>58</v>
      </c>
      <c r="B8" s="4" t="s">
        <v>20</v>
      </c>
      <c r="C8" s="8">
        <v>375</v>
      </c>
      <c r="D8" s="8">
        <v>375</v>
      </c>
      <c r="E8" s="8">
        <v>375</v>
      </c>
      <c r="F8" s="8">
        <v>375</v>
      </c>
      <c r="G8" s="8">
        <v>375</v>
      </c>
      <c r="H8" s="8">
        <v>375</v>
      </c>
      <c r="I8" s="8">
        <v>375</v>
      </c>
      <c r="J8" s="8">
        <v>375</v>
      </c>
      <c r="K8" s="8">
        <v>375</v>
      </c>
      <c r="L8" s="8">
        <v>375</v>
      </c>
      <c r="M8" s="8">
        <v>375</v>
      </c>
      <c r="N8" s="8">
        <v>375</v>
      </c>
      <c r="O8" s="8">
        <f t="shared" si="0"/>
        <v>4500</v>
      </c>
    </row>
    <row r="9" spans="1:15">
      <c r="A9" s="56"/>
      <c r="B9" s="4" t="s">
        <v>17</v>
      </c>
      <c r="C9" s="8">
        <v>375</v>
      </c>
      <c r="D9" s="8">
        <v>375</v>
      </c>
      <c r="E9" s="8">
        <v>375</v>
      </c>
      <c r="F9" s="8">
        <v>375</v>
      </c>
      <c r="G9" s="8">
        <v>375</v>
      </c>
      <c r="H9" s="8">
        <v>375</v>
      </c>
      <c r="I9" s="8">
        <v>375</v>
      </c>
      <c r="J9" s="8">
        <v>375</v>
      </c>
      <c r="K9" s="8">
        <v>375</v>
      </c>
      <c r="L9" s="8">
        <v>375</v>
      </c>
      <c r="M9" s="8">
        <v>375</v>
      </c>
      <c r="N9" s="8">
        <v>375</v>
      </c>
      <c r="O9" s="8">
        <f t="shared" si="0"/>
        <v>4500</v>
      </c>
    </row>
    <row r="10" spans="1:15" s="10" customFormat="1" ht="31.5">
      <c r="A10" s="57"/>
      <c r="B10" s="5" t="s">
        <v>18</v>
      </c>
      <c r="C10" s="9">
        <f>C9-C8</f>
        <v>0</v>
      </c>
      <c r="D10" s="9">
        <f t="shared" ref="D10:N10" si="3">D9-D8</f>
        <v>0</v>
      </c>
      <c r="E10" s="9">
        <f t="shared" si="3"/>
        <v>0</v>
      </c>
      <c r="F10" s="9">
        <f t="shared" si="3"/>
        <v>0</v>
      </c>
      <c r="G10" s="9">
        <f t="shared" si="3"/>
        <v>0</v>
      </c>
      <c r="H10" s="9">
        <f t="shared" si="3"/>
        <v>0</v>
      </c>
      <c r="I10" s="9">
        <f t="shared" si="3"/>
        <v>0</v>
      </c>
      <c r="J10" s="9">
        <f t="shared" si="3"/>
        <v>0</v>
      </c>
      <c r="K10" s="9">
        <f t="shared" si="3"/>
        <v>0</v>
      </c>
      <c r="L10" s="9">
        <f t="shared" si="3"/>
        <v>0</v>
      </c>
      <c r="M10" s="9">
        <f t="shared" si="3"/>
        <v>0</v>
      </c>
      <c r="N10" s="9">
        <f t="shared" si="3"/>
        <v>0</v>
      </c>
      <c r="O10" s="8">
        <f t="shared" si="0"/>
        <v>0</v>
      </c>
    </row>
    <row r="11" spans="1:15">
      <c r="A11" s="55" t="s">
        <v>3</v>
      </c>
      <c r="B11" s="3" t="s">
        <v>19</v>
      </c>
      <c r="C11" s="1">
        <f>C5+C8</f>
        <v>34679.83</v>
      </c>
      <c r="D11" s="1">
        <f t="shared" ref="D11:N11" si="4">D5+D8</f>
        <v>34679.83</v>
      </c>
      <c r="E11" s="1">
        <f t="shared" si="4"/>
        <v>34679.83</v>
      </c>
      <c r="F11" s="1">
        <f t="shared" si="4"/>
        <v>34679.83</v>
      </c>
      <c r="G11" s="1">
        <f t="shared" si="4"/>
        <v>42484.97</v>
      </c>
      <c r="H11" s="1">
        <f t="shared" si="4"/>
        <v>38582.400000000001</v>
      </c>
      <c r="I11" s="1">
        <f t="shared" si="4"/>
        <v>38582.400000000001</v>
      </c>
      <c r="J11" s="1">
        <f t="shared" si="4"/>
        <v>38582.400000000001</v>
      </c>
      <c r="K11" s="1">
        <f t="shared" si="4"/>
        <v>38582.400000000001</v>
      </c>
      <c r="L11" s="1">
        <f t="shared" si="4"/>
        <v>38582.400000000001</v>
      </c>
      <c r="M11" s="1">
        <f t="shared" si="4"/>
        <v>38582.400000000001</v>
      </c>
      <c r="N11" s="1">
        <f t="shared" si="4"/>
        <v>38582.400000000001</v>
      </c>
      <c r="O11" s="8">
        <f t="shared" si="0"/>
        <v>451281.09000000008</v>
      </c>
    </row>
    <row r="12" spans="1:15">
      <c r="A12" s="56"/>
      <c r="B12" s="3" t="s">
        <v>21</v>
      </c>
      <c r="C12" s="1">
        <f>C6+C9</f>
        <v>33466.980000000003</v>
      </c>
      <c r="D12" s="1">
        <f t="shared" ref="D12:N12" si="5">D6+D9</f>
        <v>33466.980000000003</v>
      </c>
      <c r="E12" s="1">
        <f t="shared" si="5"/>
        <v>33466.980000000003</v>
      </c>
      <c r="F12" s="1">
        <f t="shared" si="5"/>
        <v>33466.980000000003</v>
      </c>
      <c r="G12" s="1">
        <f t="shared" si="5"/>
        <v>33466.980000000003</v>
      </c>
      <c r="H12" s="1">
        <f t="shared" si="5"/>
        <v>33466.980000000003</v>
      </c>
      <c r="I12" s="1">
        <f t="shared" si="5"/>
        <v>33466.980000000003</v>
      </c>
      <c r="J12" s="1">
        <f t="shared" si="5"/>
        <v>33466.980000000003</v>
      </c>
      <c r="K12" s="1">
        <f t="shared" si="5"/>
        <v>33466.980000000003</v>
      </c>
      <c r="L12" s="1">
        <f t="shared" si="5"/>
        <v>33466.980000000003</v>
      </c>
      <c r="M12" s="1">
        <f t="shared" si="5"/>
        <v>33466.980000000003</v>
      </c>
      <c r="N12" s="1">
        <f t="shared" si="5"/>
        <v>57409.88</v>
      </c>
      <c r="O12" s="8">
        <f t="shared" si="0"/>
        <v>425546.66</v>
      </c>
    </row>
    <row r="13" spans="1:15" s="10" customFormat="1" ht="31.5">
      <c r="A13" s="57"/>
      <c r="B13" s="5" t="s">
        <v>18</v>
      </c>
      <c r="C13" s="9">
        <f>C12-C11</f>
        <v>-1212.8499999999985</v>
      </c>
      <c r="D13" s="9">
        <f t="shared" ref="D13:N13" si="6">D12-D11</f>
        <v>-1212.8499999999985</v>
      </c>
      <c r="E13" s="9">
        <f t="shared" si="6"/>
        <v>-1212.8499999999985</v>
      </c>
      <c r="F13" s="9">
        <f t="shared" si="6"/>
        <v>-1212.8499999999985</v>
      </c>
      <c r="G13" s="9">
        <f t="shared" si="6"/>
        <v>-9017.989999999998</v>
      </c>
      <c r="H13" s="9">
        <f t="shared" si="6"/>
        <v>-5115.4199999999983</v>
      </c>
      <c r="I13" s="9">
        <f t="shared" si="6"/>
        <v>-5115.4199999999983</v>
      </c>
      <c r="J13" s="9">
        <f t="shared" si="6"/>
        <v>-5115.4199999999983</v>
      </c>
      <c r="K13" s="9">
        <f t="shared" si="6"/>
        <v>-5115.4199999999983</v>
      </c>
      <c r="L13" s="9">
        <f t="shared" si="6"/>
        <v>-5115.4199999999983</v>
      </c>
      <c r="M13" s="9">
        <f t="shared" si="6"/>
        <v>-5115.4199999999983</v>
      </c>
      <c r="N13" s="9">
        <f t="shared" si="6"/>
        <v>18827.479999999996</v>
      </c>
      <c r="O13" s="8">
        <f t="shared" si="0"/>
        <v>-25734.429999999986</v>
      </c>
    </row>
    <row r="14" spans="1:15">
      <c r="A14" s="59" t="s">
        <v>22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  <c r="O14" s="8">
        <f t="shared" si="0"/>
        <v>0</v>
      </c>
    </row>
    <row r="15" spans="1:15" ht="33" customHeight="1">
      <c r="A15" s="58" t="s">
        <v>65</v>
      </c>
      <c r="B15" s="58"/>
      <c r="C15" s="7">
        <f>1.38*C3</f>
        <v>3766.0199999999995</v>
      </c>
      <c r="D15" s="7">
        <f t="shared" ref="D15:N15" si="7">1.38*D3</f>
        <v>3766.0199999999995</v>
      </c>
      <c r="E15" s="7">
        <f t="shared" si="7"/>
        <v>3766.0199999999995</v>
      </c>
      <c r="F15" s="7">
        <f t="shared" si="7"/>
        <v>3766.0199999999995</v>
      </c>
      <c r="G15" s="7">
        <f t="shared" si="7"/>
        <v>3766.0199999999995</v>
      </c>
      <c r="H15" s="7">
        <f>1.38*H3</f>
        <v>3766.0199999999995</v>
      </c>
      <c r="I15" s="7">
        <f t="shared" si="7"/>
        <v>3766.0199999999995</v>
      </c>
      <c r="J15" s="7">
        <f t="shared" si="7"/>
        <v>3766.0199999999995</v>
      </c>
      <c r="K15" s="7">
        <f t="shared" si="7"/>
        <v>3766.0199999999995</v>
      </c>
      <c r="L15" s="7">
        <f t="shared" si="7"/>
        <v>3766.0199999999995</v>
      </c>
      <c r="M15" s="7">
        <f t="shared" si="7"/>
        <v>3766.0199999999995</v>
      </c>
      <c r="N15" s="7">
        <f t="shared" si="7"/>
        <v>3766.0199999999995</v>
      </c>
      <c r="O15" s="8">
        <f t="shared" si="0"/>
        <v>45192.239999999991</v>
      </c>
    </row>
    <row r="16" spans="1:15" ht="33" customHeight="1">
      <c r="A16" s="43" t="s">
        <v>99</v>
      </c>
      <c r="B16" s="44"/>
      <c r="C16" s="1">
        <f>2.65*C3</f>
        <v>7231.8499999999995</v>
      </c>
      <c r="D16" s="30">
        <f t="shared" ref="D16:M16" si="8">2.65*D3</f>
        <v>7231.8499999999995</v>
      </c>
      <c r="E16" s="30">
        <f t="shared" si="8"/>
        <v>7231.8499999999995</v>
      </c>
      <c r="F16" s="30">
        <f t="shared" si="8"/>
        <v>7231.8499999999995</v>
      </c>
      <c r="G16" s="30">
        <f t="shared" si="8"/>
        <v>7231.8499999999995</v>
      </c>
      <c r="H16" s="30">
        <f t="shared" si="8"/>
        <v>7231.8499999999995</v>
      </c>
      <c r="I16" s="30">
        <f t="shared" si="8"/>
        <v>7231.8499999999995</v>
      </c>
      <c r="J16" s="30">
        <f t="shared" si="8"/>
        <v>7231.8499999999995</v>
      </c>
      <c r="K16" s="30">
        <f t="shared" si="8"/>
        <v>7231.8499999999995</v>
      </c>
      <c r="L16" s="30">
        <f t="shared" si="8"/>
        <v>7231.8499999999995</v>
      </c>
      <c r="M16" s="30">
        <f t="shared" si="8"/>
        <v>7231.8499999999995</v>
      </c>
      <c r="N16" s="30">
        <v>7204.56</v>
      </c>
      <c r="O16" s="8">
        <f t="shared" si="0"/>
        <v>86754.91</v>
      </c>
    </row>
    <row r="17" spans="1:16" s="18" customFormat="1" ht="48.2" customHeight="1">
      <c r="A17" s="53" t="s">
        <v>59</v>
      </c>
      <c r="B17" s="54"/>
      <c r="C17" s="11">
        <f>0.67*C3</f>
        <v>1828.43</v>
      </c>
      <c r="D17" s="11">
        <f t="shared" ref="D17:L17" si="9">0.67*D3</f>
        <v>1828.43</v>
      </c>
      <c r="E17" s="11">
        <f t="shared" si="9"/>
        <v>1828.43</v>
      </c>
      <c r="F17" s="11">
        <f t="shared" si="9"/>
        <v>1828.43</v>
      </c>
      <c r="G17" s="11">
        <f t="shared" si="9"/>
        <v>1828.43</v>
      </c>
      <c r="H17" s="11">
        <f t="shared" si="9"/>
        <v>1828.43</v>
      </c>
      <c r="I17" s="11">
        <f t="shared" si="9"/>
        <v>1828.43</v>
      </c>
      <c r="J17" s="11">
        <f t="shared" si="9"/>
        <v>1828.43</v>
      </c>
      <c r="K17" s="11">
        <f t="shared" si="9"/>
        <v>1828.43</v>
      </c>
      <c r="L17" s="11">
        <f t="shared" si="9"/>
        <v>1828.43</v>
      </c>
      <c r="M17" s="11">
        <f t="shared" ref="M17:N17" si="10">0.67*M3</f>
        <v>1828.43</v>
      </c>
      <c r="N17" s="11">
        <f t="shared" si="10"/>
        <v>1828.43</v>
      </c>
      <c r="O17" s="8">
        <f t="shared" si="0"/>
        <v>21941.16</v>
      </c>
    </row>
    <row r="18" spans="1:16" s="18" customFormat="1" ht="48.2" customHeight="1">
      <c r="A18" s="53" t="s">
        <v>60</v>
      </c>
      <c r="B18" s="54"/>
      <c r="C18" s="11">
        <f>0.66*C3</f>
        <v>1801.14</v>
      </c>
      <c r="D18" s="11">
        <f t="shared" ref="D18:L18" si="11">0.66*D3</f>
        <v>1801.14</v>
      </c>
      <c r="E18" s="11">
        <f t="shared" si="11"/>
        <v>1801.14</v>
      </c>
      <c r="F18" s="11">
        <f t="shared" si="11"/>
        <v>1801.14</v>
      </c>
      <c r="G18" s="11">
        <f t="shared" si="11"/>
        <v>1801.14</v>
      </c>
      <c r="H18" s="11">
        <f t="shared" si="11"/>
        <v>1801.14</v>
      </c>
      <c r="I18" s="11">
        <f t="shared" si="11"/>
        <v>1801.14</v>
      </c>
      <c r="J18" s="11">
        <f t="shared" si="11"/>
        <v>1801.14</v>
      </c>
      <c r="K18" s="11">
        <f t="shared" si="11"/>
        <v>1801.14</v>
      </c>
      <c r="L18" s="11">
        <f t="shared" si="11"/>
        <v>1801.14</v>
      </c>
      <c r="M18" s="11">
        <f t="shared" ref="M18:N18" si="12">0.66*M3</f>
        <v>1801.14</v>
      </c>
      <c r="N18" s="11">
        <f t="shared" si="12"/>
        <v>1801.14</v>
      </c>
      <c r="O18" s="8">
        <f t="shared" si="0"/>
        <v>21613.679999999997</v>
      </c>
    </row>
    <row r="19" spans="1:16" s="18" customFormat="1" ht="33" customHeight="1">
      <c r="A19" s="53" t="s">
        <v>61</v>
      </c>
      <c r="B19" s="54"/>
      <c r="C19" s="11">
        <f>0.8*C3</f>
        <v>2183.2000000000003</v>
      </c>
      <c r="D19" s="11">
        <f t="shared" ref="D19:L19" si="13">0.8*D3</f>
        <v>2183.2000000000003</v>
      </c>
      <c r="E19" s="11">
        <f t="shared" si="13"/>
        <v>2183.2000000000003</v>
      </c>
      <c r="F19" s="11">
        <f t="shared" si="13"/>
        <v>2183.2000000000003</v>
      </c>
      <c r="G19" s="11">
        <f t="shared" si="13"/>
        <v>2183.2000000000003</v>
      </c>
      <c r="H19" s="11">
        <f t="shared" si="13"/>
        <v>2183.2000000000003</v>
      </c>
      <c r="I19" s="11">
        <f t="shared" si="13"/>
        <v>2183.2000000000003</v>
      </c>
      <c r="J19" s="11">
        <f t="shared" si="13"/>
        <v>2183.2000000000003</v>
      </c>
      <c r="K19" s="11">
        <f t="shared" si="13"/>
        <v>2183.2000000000003</v>
      </c>
      <c r="L19" s="11">
        <f t="shared" si="13"/>
        <v>2183.2000000000003</v>
      </c>
      <c r="M19" s="11">
        <f t="shared" ref="M19:N19" si="14">0.8*M3</f>
        <v>2183.2000000000003</v>
      </c>
      <c r="N19" s="11">
        <f t="shared" si="14"/>
        <v>2183.2000000000003</v>
      </c>
      <c r="O19" s="11">
        <f t="shared" ref="O19:O31" si="15">SUM(C19:N19)</f>
        <v>26198.400000000005</v>
      </c>
    </row>
    <row r="20" spans="1:16" s="18" customFormat="1" ht="48.2" customHeight="1">
      <c r="A20" s="53" t="s">
        <v>62</v>
      </c>
      <c r="B20" s="54"/>
      <c r="C20" s="11">
        <f>0.52*C3</f>
        <v>1419.0800000000002</v>
      </c>
      <c r="D20" s="11">
        <f t="shared" ref="D20:L20" si="16">0.52*D3</f>
        <v>1419.0800000000002</v>
      </c>
      <c r="E20" s="11">
        <f t="shared" si="16"/>
        <v>1419.0800000000002</v>
      </c>
      <c r="F20" s="11">
        <f t="shared" si="16"/>
        <v>1419.0800000000002</v>
      </c>
      <c r="G20" s="11">
        <f t="shared" si="16"/>
        <v>1419.0800000000002</v>
      </c>
      <c r="H20" s="11">
        <f t="shared" si="16"/>
        <v>1419.0800000000002</v>
      </c>
      <c r="I20" s="11">
        <f t="shared" si="16"/>
        <v>1419.0800000000002</v>
      </c>
      <c r="J20" s="11">
        <f t="shared" si="16"/>
        <v>1419.0800000000002</v>
      </c>
      <c r="K20" s="11">
        <f t="shared" si="16"/>
        <v>1419.0800000000002</v>
      </c>
      <c r="L20" s="11">
        <f t="shared" si="16"/>
        <v>1419.0800000000002</v>
      </c>
      <c r="M20" s="11">
        <f t="shared" ref="M20:N20" si="17">0.52*M3</f>
        <v>1419.0800000000002</v>
      </c>
      <c r="N20" s="11">
        <f t="shared" si="17"/>
        <v>1419.0800000000002</v>
      </c>
      <c r="O20" s="11">
        <f t="shared" si="15"/>
        <v>17028.960000000003</v>
      </c>
    </row>
    <row r="21" spans="1:16" ht="33" customHeight="1">
      <c r="A21" s="43" t="s">
        <v>63</v>
      </c>
      <c r="B21" s="44"/>
      <c r="C21" s="7">
        <f>0.64*C3</f>
        <v>1746.56</v>
      </c>
      <c r="D21" s="7">
        <f t="shared" ref="D21:L21" si="18">0.64*D3</f>
        <v>1746.56</v>
      </c>
      <c r="E21" s="7">
        <f t="shared" si="18"/>
        <v>1746.56</v>
      </c>
      <c r="F21" s="7">
        <f t="shared" si="18"/>
        <v>1746.56</v>
      </c>
      <c r="G21" s="7">
        <f t="shared" si="18"/>
        <v>1746.56</v>
      </c>
      <c r="H21" s="7">
        <f t="shared" si="18"/>
        <v>1746.56</v>
      </c>
      <c r="I21" s="7">
        <f t="shared" si="18"/>
        <v>1746.56</v>
      </c>
      <c r="J21" s="7">
        <f t="shared" si="18"/>
        <v>1746.56</v>
      </c>
      <c r="K21" s="7">
        <f t="shared" si="18"/>
        <v>1746.56</v>
      </c>
      <c r="L21" s="7">
        <f t="shared" si="18"/>
        <v>1746.56</v>
      </c>
      <c r="M21" s="7">
        <f t="shared" ref="M21:N21" si="19">0.64*M3</f>
        <v>1746.56</v>
      </c>
      <c r="N21" s="7">
        <f t="shared" si="19"/>
        <v>1746.56</v>
      </c>
      <c r="O21" s="1">
        <f t="shared" si="15"/>
        <v>20958.72</v>
      </c>
    </row>
    <row r="22" spans="1:16" ht="33" customHeight="1">
      <c r="A22" s="58" t="s">
        <v>64</v>
      </c>
      <c r="B22" s="58"/>
      <c r="C22" s="7">
        <f>2.64*C3</f>
        <v>7204.56</v>
      </c>
      <c r="D22" s="7">
        <f t="shared" ref="D22:L22" si="20">2.64*D3</f>
        <v>7204.56</v>
      </c>
      <c r="E22" s="7">
        <f t="shared" si="20"/>
        <v>7204.56</v>
      </c>
      <c r="F22" s="7">
        <f t="shared" si="20"/>
        <v>7204.56</v>
      </c>
      <c r="G22" s="7">
        <f t="shared" si="20"/>
        <v>7204.56</v>
      </c>
      <c r="H22" s="7">
        <f t="shared" si="20"/>
        <v>7204.56</v>
      </c>
      <c r="I22" s="7">
        <f t="shared" si="20"/>
        <v>7204.56</v>
      </c>
      <c r="J22" s="7">
        <f t="shared" si="20"/>
        <v>7204.56</v>
      </c>
      <c r="K22" s="7">
        <f t="shared" si="20"/>
        <v>7204.56</v>
      </c>
      <c r="L22" s="7">
        <f t="shared" si="20"/>
        <v>7204.56</v>
      </c>
      <c r="M22" s="7">
        <f t="shared" ref="M22:N22" si="21">2.64*M3</f>
        <v>7204.56</v>
      </c>
      <c r="N22" s="7">
        <f t="shared" si="21"/>
        <v>7204.56</v>
      </c>
      <c r="O22" s="1">
        <f t="shared" si="15"/>
        <v>86454.719999999987</v>
      </c>
    </row>
    <row r="23" spans="1:16" ht="33" customHeight="1">
      <c r="A23" s="43" t="s">
        <v>68</v>
      </c>
      <c r="B23" s="44"/>
      <c r="C23" s="1">
        <f t="shared" ref="C23:L23" si="22">1.61*C3</f>
        <v>4393.6900000000005</v>
      </c>
      <c r="D23" s="1">
        <f t="shared" si="22"/>
        <v>4393.6900000000005</v>
      </c>
      <c r="E23" s="1">
        <f t="shared" si="22"/>
        <v>4393.6900000000005</v>
      </c>
      <c r="F23" s="1">
        <f t="shared" si="22"/>
        <v>4393.6900000000005</v>
      </c>
      <c r="G23" s="1">
        <f t="shared" si="22"/>
        <v>4393.6900000000005</v>
      </c>
      <c r="H23" s="1">
        <f t="shared" si="22"/>
        <v>4393.6900000000005</v>
      </c>
      <c r="I23" s="1">
        <f t="shared" si="22"/>
        <v>4393.6900000000005</v>
      </c>
      <c r="J23" s="24">
        <f t="shared" si="22"/>
        <v>4393.6900000000005</v>
      </c>
      <c r="K23" s="25">
        <f t="shared" si="22"/>
        <v>4393.6900000000005</v>
      </c>
      <c r="L23" s="26">
        <f t="shared" si="22"/>
        <v>4393.6900000000005</v>
      </c>
      <c r="M23" s="30">
        <f t="shared" ref="M23:N23" si="23">1.61*M3</f>
        <v>4393.6900000000005</v>
      </c>
      <c r="N23" s="30">
        <f t="shared" si="23"/>
        <v>4393.6900000000005</v>
      </c>
      <c r="O23" s="1">
        <f>SUM(C23:N23)</f>
        <v>52724.280000000021</v>
      </c>
    </row>
    <row r="24" spans="1:16" ht="37.5" customHeight="1">
      <c r="A24" s="43" t="s">
        <v>69</v>
      </c>
      <c r="B24" s="44"/>
      <c r="C24" s="1">
        <v>2192.64</v>
      </c>
      <c r="D24" s="1">
        <v>2192.64</v>
      </c>
      <c r="E24" s="1">
        <v>2192.64</v>
      </c>
      <c r="F24" s="1">
        <v>2192.64</v>
      </c>
      <c r="G24" s="1">
        <v>2192.64</v>
      </c>
      <c r="H24" s="1">
        <v>2192.64</v>
      </c>
      <c r="I24" s="1">
        <v>2192.64</v>
      </c>
      <c r="J24" s="24">
        <v>2192.64</v>
      </c>
      <c r="K24" s="25">
        <v>2192.64</v>
      </c>
      <c r="L24" s="26">
        <v>2192.64</v>
      </c>
      <c r="M24" s="30">
        <v>2192.364</v>
      </c>
      <c r="N24" s="30">
        <v>2192.64</v>
      </c>
      <c r="O24" s="1">
        <f>SUM(C24:N24)</f>
        <v>26311.403999999999</v>
      </c>
    </row>
    <row r="25" spans="1:16" s="21" customFormat="1">
      <c r="A25" s="43" t="s">
        <v>72</v>
      </c>
      <c r="B25" s="44"/>
      <c r="C25" s="22"/>
      <c r="D25" s="22"/>
      <c r="E25" s="22"/>
      <c r="F25" s="22"/>
      <c r="G25" s="22"/>
      <c r="H25" s="22"/>
      <c r="I25" s="22">
        <f t="shared" ref="I25:N25" si="24">0.2*I3</f>
        <v>545.80000000000007</v>
      </c>
      <c r="J25" s="24">
        <f t="shared" si="24"/>
        <v>545.80000000000007</v>
      </c>
      <c r="K25" s="25">
        <f t="shared" si="24"/>
        <v>545.80000000000007</v>
      </c>
      <c r="L25" s="26">
        <f t="shared" si="24"/>
        <v>545.80000000000007</v>
      </c>
      <c r="M25" s="27">
        <f t="shared" si="24"/>
        <v>545.80000000000007</v>
      </c>
      <c r="N25" s="30">
        <f t="shared" si="24"/>
        <v>545.80000000000007</v>
      </c>
      <c r="O25" s="23">
        <f>SUM(C25:N25)</f>
        <v>3274.8000000000006</v>
      </c>
    </row>
    <row r="26" spans="1:16" ht="33" customHeight="1">
      <c r="A26" s="58" t="s">
        <v>73</v>
      </c>
      <c r="B26" s="58"/>
      <c r="C26" s="1"/>
      <c r="D26" s="1">
        <f>549.9</f>
        <v>549.9</v>
      </c>
      <c r="E26" s="1">
        <f>366.6+366.6+183.3</f>
        <v>916.5</v>
      </c>
      <c r="F26" s="1"/>
      <c r="G26" s="1"/>
      <c r="H26" s="1"/>
      <c r="I26" s="1"/>
      <c r="J26" s="1"/>
      <c r="K26" s="1"/>
      <c r="L26" s="1">
        <f>350+175</f>
        <v>525</v>
      </c>
      <c r="M26" s="1">
        <v>1925</v>
      </c>
      <c r="N26" s="1">
        <v>3150</v>
      </c>
      <c r="O26" s="1">
        <f t="shared" si="15"/>
        <v>7066.4</v>
      </c>
    </row>
    <row r="27" spans="1:16" s="21" customFormat="1">
      <c r="A27" s="43" t="s">
        <v>74</v>
      </c>
      <c r="B27" s="44"/>
      <c r="C27" s="22"/>
      <c r="D27" s="22">
        <v>450</v>
      </c>
      <c r="E27" s="7"/>
      <c r="F27" s="22"/>
      <c r="G27" s="22"/>
      <c r="H27" s="22"/>
      <c r="I27" s="22"/>
      <c r="J27" s="22"/>
      <c r="K27" s="22"/>
      <c r="L27" s="22"/>
      <c r="M27" s="22">
        <v>500</v>
      </c>
      <c r="N27" s="22">
        <v>500</v>
      </c>
      <c r="O27" s="22">
        <f t="shared" si="15"/>
        <v>1450</v>
      </c>
    </row>
    <row r="28" spans="1:16" s="21" customFormat="1">
      <c r="A28" s="43" t="s">
        <v>75</v>
      </c>
      <c r="B28" s="4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0">
        <f t="shared" si="15"/>
        <v>0</v>
      </c>
    </row>
    <row r="29" spans="1:16" s="21" customFormat="1">
      <c r="A29" s="43" t="s">
        <v>76</v>
      </c>
      <c r="B29" s="44"/>
      <c r="C29" s="22">
        <f>F35+F36+F37</f>
        <v>9690.57</v>
      </c>
      <c r="D29" s="22">
        <f>F38+F39</f>
        <v>4455.82</v>
      </c>
      <c r="E29" s="22"/>
      <c r="F29" s="22">
        <f>F40+F41+F42+F43+F44+F45+F46</f>
        <v>146069.38</v>
      </c>
      <c r="G29" s="22">
        <f>F47+F48+F49</f>
        <v>33830.22</v>
      </c>
      <c r="H29" s="22">
        <f>F50</f>
        <v>3920</v>
      </c>
      <c r="I29" s="22"/>
      <c r="J29" s="22">
        <f>F51</f>
        <v>19344</v>
      </c>
      <c r="K29" s="22">
        <f>F52+F53+F54+F55+F56</f>
        <v>78067.209999999992</v>
      </c>
      <c r="L29" s="22">
        <f>F57</f>
        <v>2936.27</v>
      </c>
      <c r="M29" s="22">
        <v>400</v>
      </c>
      <c r="N29" s="22">
        <f>F59</f>
        <v>1600.73</v>
      </c>
      <c r="O29" s="30">
        <f t="shared" si="15"/>
        <v>300314.2</v>
      </c>
    </row>
    <row r="30" spans="1:16" s="13" customFormat="1" ht="15.75" customHeight="1">
      <c r="A30" s="46" t="s">
        <v>23</v>
      </c>
      <c r="B30" s="47"/>
      <c r="C30" s="12">
        <f>SUM(C15:C29)-C16</f>
        <v>36225.890000000007</v>
      </c>
      <c r="D30" s="12">
        <f t="shared" ref="D30:M30" si="25">SUM(D15:D29)-D16</f>
        <v>31991.040000000008</v>
      </c>
      <c r="E30" s="12">
        <f t="shared" si="25"/>
        <v>27451.820000000007</v>
      </c>
      <c r="F30" s="12">
        <f t="shared" si="25"/>
        <v>172604.7</v>
      </c>
      <c r="G30" s="12">
        <f t="shared" si="25"/>
        <v>60365.540000000015</v>
      </c>
      <c r="H30" s="12">
        <f t="shared" si="25"/>
        <v>30455.320000000007</v>
      </c>
      <c r="I30" s="12">
        <f t="shared" si="25"/>
        <v>27081.12000000001</v>
      </c>
      <c r="J30" s="12">
        <f t="shared" si="25"/>
        <v>46425.12000000001</v>
      </c>
      <c r="K30" s="12">
        <f t="shared" si="25"/>
        <v>105148.32999999999</v>
      </c>
      <c r="L30" s="12">
        <f t="shared" si="25"/>
        <v>30542.390000000007</v>
      </c>
      <c r="M30" s="12">
        <f t="shared" si="25"/>
        <v>29905.844000000012</v>
      </c>
      <c r="N30" s="12">
        <f>SUM(N15:N29)-N16</f>
        <v>32331.850000000009</v>
      </c>
      <c r="O30" s="12">
        <f t="shared" si="15"/>
        <v>630528.96400000015</v>
      </c>
      <c r="P30" s="13">
        <f>O30-Лист1!F44</f>
        <v>27.290000000153668</v>
      </c>
    </row>
    <row r="31" spans="1:16" ht="15.75" customHeight="1">
      <c r="A31" s="48" t="s">
        <v>54</v>
      </c>
      <c r="B31" s="49"/>
      <c r="C31" s="14">
        <f>C12-C30</f>
        <v>-2758.9100000000035</v>
      </c>
      <c r="D31" s="14">
        <f t="shared" ref="D31:N31" si="26">D12-D30</f>
        <v>1475.9399999999951</v>
      </c>
      <c r="E31" s="14">
        <f t="shared" si="26"/>
        <v>6015.1599999999962</v>
      </c>
      <c r="F31" s="14">
        <f t="shared" si="26"/>
        <v>-139137.72</v>
      </c>
      <c r="G31" s="14">
        <f t="shared" si="26"/>
        <v>-26898.560000000012</v>
      </c>
      <c r="H31" s="14">
        <f t="shared" si="26"/>
        <v>3011.6599999999962</v>
      </c>
      <c r="I31" s="14">
        <f t="shared" si="26"/>
        <v>6385.8599999999933</v>
      </c>
      <c r="J31" s="14">
        <f t="shared" si="26"/>
        <v>-12958.140000000007</v>
      </c>
      <c r="K31" s="14">
        <f t="shared" si="26"/>
        <v>-71681.349999999977</v>
      </c>
      <c r="L31" s="14">
        <f t="shared" si="26"/>
        <v>2924.5899999999965</v>
      </c>
      <c r="M31" s="14">
        <f t="shared" si="26"/>
        <v>3561.1359999999913</v>
      </c>
      <c r="N31" s="14">
        <f t="shared" si="26"/>
        <v>25078.029999999988</v>
      </c>
      <c r="O31" s="9">
        <f t="shared" si="15"/>
        <v>-204982.30400000003</v>
      </c>
    </row>
    <row r="33" spans="1:14" ht="15.75" customHeight="1">
      <c r="A33" s="45" t="s">
        <v>32</v>
      </c>
      <c r="B33" s="45"/>
      <c r="C33" s="45"/>
      <c r="D33" s="45"/>
      <c r="E33" s="45"/>
      <c r="F33" s="45"/>
    </row>
    <row r="34" spans="1:14">
      <c r="A34" s="40" t="s">
        <v>24</v>
      </c>
      <c r="B34" s="42"/>
      <c r="C34" s="2" t="s">
        <v>25</v>
      </c>
      <c r="D34" s="20" t="s">
        <v>43</v>
      </c>
      <c r="E34" s="20" t="s">
        <v>44</v>
      </c>
      <c r="F34" s="20" t="s">
        <v>26</v>
      </c>
    </row>
    <row r="35" spans="1:14" ht="15.75" customHeight="1">
      <c r="A35" s="37" t="s">
        <v>33</v>
      </c>
      <c r="B35" s="39"/>
      <c r="C35" s="15" t="s">
        <v>35</v>
      </c>
      <c r="D35" s="19" t="s">
        <v>45</v>
      </c>
      <c r="E35" s="20">
        <v>2</v>
      </c>
      <c r="F35" s="20">
        <v>934.85</v>
      </c>
      <c r="I35" s="34" t="s">
        <v>54</v>
      </c>
      <c r="J35" s="35"/>
      <c r="K35" s="35"/>
      <c r="L35" s="35"/>
      <c r="M35" s="35"/>
      <c r="N35" s="36"/>
    </row>
    <row r="36" spans="1:14" ht="15.75" customHeight="1">
      <c r="A36" s="37" t="s">
        <v>34</v>
      </c>
      <c r="B36" s="39"/>
      <c r="C36" s="15" t="s">
        <v>35</v>
      </c>
      <c r="D36" s="19" t="s">
        <v>45</v>
      </c>
      <c r="E36" s="20">
        <v>16</v>
      </c>
      <c r="F36" s="20">
        <v>7759.72</v>
      </c>
      <c r="I36" s="37" t="s">
        <v>55</v>
      </c>
      <c r="J36" s="38"/>
      <c r="K36" s="38"/>
      <c r="L36" s="38"/>
      <c r="M36" s="39"/>
      <c r="N36" s="2">
        <v>72295.63</v>
      </c>
    </row>
    <row r="37" spans="1:14" ht="15.75" customHeight="1">
      <c r="A37" s="37" t="s">
        <v>36</v>
      </c>
      <c r="B37" s="39"/>
      <c r="C37" s="15" t="s">
        <v>35</v>
      </c>
      <c r="D37" s="19" t="s">
        <v>66</v>
      </c>
      <c r="E37" s="20">
        <v>1</v>
      </c>
      <c r="F37" s="20">
        <v>996</v>
      </c>
      <c r="G37" s="16"/>
      <c r="I37" s="37" t="s">
        <v>56</v>
      </c>
      <c r="J37" s="38"/>
      <c r="K37" s="38"/>
      <c r="L37" s="38"/>
      <c r="M37" s="39"/>
      <c r="N37" s="2">
        <f>O31</f>
        <v>-204982.30400000003</v>
      </c>
    </row>
    <row r="38" spans="1:14" ht="15.75" customHeight="1">
      <c r="A38" s="37" t="s">
        <v>37</v>
      </c>
      <c r="B38" s="39"/>
      <c r="C38" s="15" t="s">
        <v>38</v>
      </c>
      <c r="D38" s="19" t="s">
        <v>45</v>
      </c>
      <c r="E38" s="20">
        <v>8</v>
      </c>
      <c r="F38" s="20">
        <v>4375.12</v>
      </c>
      <c r="I38" s="40" t="s">
        <v>29</v>
      </c>
      <c r="J38" s="41"/>
      <c r="K38" s="41"/>
      <c r="L38" s="41"/>
      <c r="M38" s="42"/>
      <c r="N38" s="2"/>
    </row>
    <row r="39" spans="1:14" ht="15.75" customHeight="1">
      <c r="A39" s="37" t="s">
        <v>39</v>
      </c>
      <c r="B39" s="39"/>
      <c r="C39" s="15" t="s">
        <v>38</v>
      </c>
      <c r="D39" s="19" t="s">
        <v>66</v>
      </c>
      <c r="E39" s="20">
        <v>2</v>
      </c>
      <c r="F39" s="20">
        <v>80.7</v>
      </c>
      <c r="G39" s="16"/>
      <c r="I39" s="34" t="s">
        <v>27</v>
      </c>
      <c r="J39" s="35"/>
      <c r="K39" s="35"/>
      <c r="L39" s="35"/>
      <c r="M39" s="36"/>
      <c r="N39" s="2">
        <f>SUM(N36:N38)</f>
        <v>-132686.67400000003</v>
      </c>
    </row>
    <row r="40" spans="1:14" ht="15.75" customHeight="1">
      <c r="A40" s="37" t="s">
        <v>40</v>
      </c>
      <c r="B40" s="39"/>
      <c r="C40" s="15" t="s">
        <v>41</v>
      </c>
      <c r="D40" s="19" t="s">
        <v>66</v>
      </c>
      <c r="E40" s="20">
        <v>4</v>
      </c>
      <c r="F40" s="20">
        <v>94840.5</v>
      </c>
    </row>
    <row r="41" spans="1:14" ht="15.75" customHeight="1">
      <c r="A41" s="37" t="s">
        <v>42</v>
      </c>
      <c r="B41" s="39"/>
      <c r="C41" s="15" t="s">
        <v>41</v>
      </c>
      <c r="D41" s="19" t="s">
        <v>66</v>
      </c>
      <c r="E41" s="20">
        <v>4</v>
      </c>
      <c r="F41" s="20">
        <v>47553.41</v>
      </c>
    </row>
    <row r="42" spans="1:14" ht="15.75" customHeight="1">
      <c r="A42" s="37" t="s">
        <v>46</v>
      </c>
      <c r="B42" s="39"/>
      <c r="C42" s="15" t="s">
        <v>41</v>
      </c>
      <c r="D42" s="19" t="s">
        <v>66</v>
      </c>
      <c r="E42" s="20">
        <v>2</v>
      </c>
      <c r="F42" s="20">
        <v>40.35</v>
      </c>
    </row>
    <row r="43" spans="1:14" ht="35.450000000000003" customHeight="1">
      <c r="A43" s="37" t="s">
        <v>47</v>
      </c>
      <c r="B43" s="39"/>
      <c r="C43" s="15" t="s">
        <v>41</v>
      </c>
      <c r="D43" s="19"/>
      <c r="E43" s="20"/>
      <c r="F43" s="20">
        <v>1544.16</v>
      </c>
    </row>
    <row r="44" spans="1:14" ht="15.75" customHeight="1">
      <c r="A44" s="37" t="s">
        <v>48</v>
      </c>
      <c r="B44" s="39"/>
      <c r="C44" s="15" t="s">
        <v>41</v>
      </c>
      <c r="D44" s="19" t="s">
        <v>66</v>
      </c>
      <c r="E44" s="20">
        <v>2</v>
      </c>
      <c r="F44" s="20">
        <v>1245.1600000000001</v>
      </c>
    </row>
    <row r="45" spans="1:14">
      <c r="A45" s="37" t="s">
        <v>49</v>
      </c>
      <c r="B45" s="39"/>
      <c r="C45" s="15" t="s">
        <v>41</v>
      </c>
      <c r="D45" s="19" t="s">
        <v>66</v>
      </c>
      <c r="E45" s="20">
        <v>1</v>
      </c>
      <c r="F45" s="20">
        <v>622.9</v>
      </c>
    </row>
    <row r="46" spans="1:14">
      <c r="A46" s="37" t="s">
        <v>50</v>
      </c>
      <c r="B46" s="39"/>
      <c r="C46" s="15" t="s">
        <v>41</v>
      </c>
      <c r="D46" s="19" t="s">
        <v>66</v>
      </c>
      <c r="E46" s="20">
        <v>1</v>
      </c>
      <c r="F46" s="20">
        <v>222.9</v>
      </c>
    </row>
    <row r="47" spans="1:14">
      <c r="A47" s="37" t="s">
        <v>51</v>
      </c>
      <c r="B47" s="39"/>
      <c r="C47" s="15" t="s">
        <v>52</v>
      </c>
      <c r="D47" s="19" t="s">
        <v>66</v>
      </c>
      <c r="E47" s="20">
        <v>2</v>
      </c>
      <c r="F47" s="20">
        <v>1234.8800000000001</v>
      </c>
    </row>
    <row r="48" spans="1:14" ht="15.75" customHeight="1">
      <c r="A48" s="37" t="s">
        <v>105</v>
      </c>
      <c r="B48" s="39"/>
      <c r="C48" s="15" t="s">
        <v>52</v>
      </c>
      <c r="D48" s="19" t="s">
        <v>67</v>
      </c>
      <c r="E48" s="20">
        <v>56.5</v>
      </c>
      <c r="F48" s="20">
        <v>28995.34</v>
      </c>
    </row>
    <row r="49" spans="1:7" ht="33.75" customHeight="1">
      <c r="A49" s="37" t="s">
        <v>53</v>
      </c>
      <c r="B49" s="39"/>
      <c r="C49" s="15" t="s">
        <v>52</v>
      </c>
      <c r="D49" s="19"/>
      <c r="E49" s="20"/>
      <c r="F49" s="20">
        <v>3600</v>
      </c>
    </row>
    <row r="50" spans="1:7">
      <c r="A50" s="37" t="s">
        <v>70</v>
      </c>
      <c r="B50" s="39"/>
      <c r="C50" s="15" t="s">
        <v>71</v>
      </c>
      <c r="D50" s="19" t="s">
        <v>66</v>
      </c>
      <c r="E50" s="20">
        <v>4</v>
      </c>
      <c r="F50" s="20">
        <v>3920</v>
      </c>
      <c r="G50" s="16"/>
    </row>
    <row r="51" spans="1:7">
      <c r="A51" s="37" t="s">
        <v>77</v>
      </c>
      <c r="B51" s="39"/>
      <c r="C51" s="15" t="s">
        <v>78</v>
      </c>
      <c r="D51" s="19"/>
      <c r="E51" s="20"/>
      <c r="F51" s="20">
        <v>19344</v>
      </c>
    </row>
    <row r="52" spans="1:7">
      <c r="A52" s="37" t="s">
        <v>79</v>
      </c>
      <c r="B52" s="39"/>
      <c r="C52" s="15" t="s">
        <v>80</v>
      </c>
      <c r="D52" s="19" t="s">
        <v>66</v>
      </c>
      <c r="E52" s="20"/>
      <c r="F52" s="20">
        <v>1392.47</v>
      </c>
    </row>
    <row r="53" spans="1:7">
      <c r="A53" s="37" t="s">
        <v>81</v>
      </c>
      <c r="B53" s="39"/>
      <c r="C53" s="15" t="s">
        <v>80</v>
      </c>
      <c r="D53" s="19"/>
      <c r="E53" s="19"/>
      <c r="F53" s="20">
        <v>223</v>
      </c>
    </row>
    <row r="54" spans="1:7">
      <c r="A54" s="37" t="s">
        <v>82</v>
      </c>
      <c r="B54" s="39"/>
      <c r="C54" s="15" t="s">
        <v>80</v>
      </c>
      <c r="D54" s="19"/>
      <c r="E54" s="19"/>
      <c r="F54" s="17">
        <v>23809.67</v>
      </c>
    </row>
    <row r="55" spans="1:7">
      <c r="A55" s="37" t="s">
        <v>83</v>
      </c>
      <c r="B55" s="39"/>
      <c r="C55" s="15" t="s">
        <v>80</v>
      </c>
      <c r="D55" s="19"/>
      <c r="E55" s="19"/>
      <c r="F55" s="17">
        <v>1392.47</v>
      </c>
    </row>
    <row r="56" spans="1:7">
      <c r="A56" s="37" t="s">
        <v>84</v>
      </c>
      <c r="B56" s="39"/>
      <c r="C56" s="15" t="s">
        <v>80</v>
      </c>
      <c r="D56" s="19"/>
      <c r="E56" s="19"/>
      <c r="F56" s="17">
        <v>51249.599999999999</v>
      </c>
    </row>
    <row r="57" spans="1:7">
      <c r="A57" s="37" t="s">
        <v>85</v>
      </c>
      <c r="B57" s="39"/>
      <c r="C57" s="15" t="s">
        <v>86</v>
      </c>
      <c r="D57" s="19" t="s">
        <v>67</v>
      </c>
      <c r="E57" s="19">
        <v>5</v>
      </c>
      <c r="F57" s="17">
        <v>2936.27</v>
      </c>
    </row>
    <row r="58" spans="1:7">
      <c r="A58" s="37" t="s">
        <v>87</v>
      </c>
      <c r="B58" s="39"/>
      <c r="C58" s="15" t="s">
        <v>88</v>
      </c>
      <c r="D58" s="19" t="s">
        <v>66</v>
      </c>
      <c r="E58" s="19">
        <v>1</v>
      </c>
      <c r="F58" s="17">
        <v>400</v>
      </c>
    </row>
    <row r="59" spans="1:7">
      <c r="A59" s="37" t="s">
        <v>103</v>
      </c>
      <c r="B59" s="39"/>
      <c r="C59" s="15" t="s">
        <v>104</v>
      </c>
      <c r="D59" s="19" t="s">
        <v>67</v>
      </c>
      <c r="E59" s="19">
        <v>4</v>
      </c>
      <c r="F59" s="17">
        <v>1600.73</v>
      </c>
    </row>
    <row r="60" spans="1:7">
      <c r="A60" s="37"/>
      <c r="B60" s="39"/>
      <c r="C60" s="15"/>
      <c r="D60" s="19"/>
      <c r="E60" s="19"/>
      <c r="F60" s="17"/>
    </row>
    <row r="61" spans="1:7">
      <c r="A61" s="37"/>
      <c r="B61" s="39"/>
      <c r="C61" s="15"/>
      <c r="D61" s="19"/>
      <c r="E61" s="19"/>
      <c r="F61" s="17"/>
    </row>
    <row r="62" spans="1:7">
      <c r="A62" s="37"/>
      <c r="B62" s="39"/>
      <c r="C62" s="15"/>
      <c r="D62" s="19"/>
      <c r="E62" s="19"/>
      <c r="F62" s="17"/>
    </row>
    <row r="63" spans="1:7">
      <c r="A63" s="37"/>
      <c r="B63" s="39"/>
      <c r="C63" s="15"/>
      <c r="D63" s="19"/>
      <c r="E63" s="19"/>
      <c r="F63" s="17"/>
    </row>
    <row r="64" spans="1:7">
      <c r="A64" s="37"/>
      <c r="B64" s="39"/>
      <c r="C64" s="15"/>
      <c r="D64" s="19"/>
      <c r="E64" s="19"/>
      <c r="F64" s="17"/>
    </row>
    <row r="65" spans="1:15">
      <c r="A65" s="37"/>
      <c r="B65" s="39"/>
      <c r="C65" s="15"/>
      <c r="D65" s="19"/>
      <c r="E65" s="19"/>
      <c r="F65" s="17"/>
    </row>
    <row r="66" spans="1:15">
      <c r="A66" s="51"/>
      <c r="B66" s="51"/>
      <c r="C66" s="15"/>
      <c r="D66" s="19"/>
      <c r="E66" s="19"/>
      <c r="F66" s="20"/>
    </row>
    <row r="67" spans="1:15">
      <c r="A67" s="50"/>
      <c r="B67" s="50"/>
      <c r="E67" s="2" t="s">
        <v>27</v>
      </c>
      <c r="F67" s="2">
        <f>SUM(F35:F66)</f>
        <v>300314.2</v>
      </c>
      <c r="G67" s="52"/>
      <c r="H67" s="52"/>
      <c r="I67" s="52"/>
      <c r="J67" s="52"/>
      <c r="K67" s="52"/>
      <c r="L67" s="52"/>
      <c r="M67" s="52"/>
      <c r="N67" s="52"/>
      <c r="O67" s="52"/>
    </row>
    <row r="68" spans="1:15">
      <c r="A68" s="50"/>
      <c r="B68" s="50"/>
      <c r="G68" s="52" t="s">
        <v>28</v>
      </c>
      <c r="H68" s="52"/>
      <c r="I68" s="52"/>
      <c r="J68" s="52"/>
      <c r="K68" s="52"/>
      <c r="L68" s="52"/>
      <c r="M68" s="52"/>
      <c r="N68" s="52"/>
      <c r="O68" s="52"/>
    </row>
    <row r="69" spans="1:15">
      <c r="A69" s="50"/>
      <c r="B69" s="50"/>
    </row>
  </sheetData>
  <mergeCells count="71">
    <mergeCell ref="O1:O2"/>
    <mergeCell ref="C2:N2"/>
    <mergeCell ref="A4:B4"/>
    <mergeCell ref="A1:B1"/>
    <mergeCell ref="A2:B2"/>
    <mergeCell ref="A3:B3"/>
    <mergeCell ref="A5:A7"/>
    <mergeCell ref="A11:A13"/>
    <mergeCell ref="A15:B15"/>
    <mergeCell ref="A26:B26"/>
    <mergeCell ref="A18:B18"/>
    <mergeCell ref="A17:B17"/>
    <mergeCell ref="A8:A10"/>
    <mergeCell ref="A14:N14"/>
    <mergeCell ref="A16:B16"/>
    <mergeCell ref="A22:B22"/>
    <mergeCell ref="A28:B28"/>
    <mergeCell ref="A23:B23"/>
    <mergeCell ref="A21:B21"/>
    <mergeCell ref="A19:B19"/>
    <mergeCell ref="A20:B20"/>
    <mergeCell ref="A24:B24"/>
    <mergeCell ref="A27:B27"/>
    <mergeCell ref="A25:B25"/>
    <mergeCell ref="A69:B69"/>
    <mergeCell ref="A67:B67"/>
    <mergeCell ref="A68:B68"/>
    <mergeCell ref="A66:B66"/>
    <mergeCell ref="G67:O67"/>
    <mergeCell ref="G68:O68"/>
    <mergeCell ref="A65:B65"/>
    <mergeCell ref="A43:B43"/>
    <mergeCell ref="A49:B49"/>
    <mergeCell ref="A54:B54"/>
    <mergeCell ref="A44:B44"/>
    <mergeCell ref="A45:B45"/>
    <mergeCell ref="A48:B48"/>
    <mergeCell ref="A50:B50"/>
    <mergeCell ref="A55:B55"/>
    <mergeCell ref="A56:B56"/>
    <mergeCell ref="A52:B52"/>
    <mergeCell ref="A30:B30"/>
    <mergeCell ref="A31:B31"/>
    <mergeCell ref="A42:B42"/>
    <mergeCell ref="A40:B40"/>
    <mergeCell ref="A39:B39"/>
    <mergeCell ref="A35:B35"/>
    <mergeCell ref="A36:B36"/>
    <mergeCell ref="A37:B37"/>
    <mergeCell ref="A38:B38"/>
    <mergeCell ref="A29:B29"/>
    <mergeCell ref="A34:B34"/>
    <mergeCell ref="A62:B62"/>
    <mergeCell ref="A63:B63"/>
    <mergeCell ref="A64:B64"/>
    <mergeCell ref="A46:B46"/>
    <mergeCell ref="A47:B47"/>
    <mergeCell ref="A51:B51"/>
    <mergeCell ref="A53:B53"/>
    <mergeCell ref="A33:F33"/>
    <mergeCell ref="A57:B57"/>
    <mergeCell ref="A58:B58"/>
    <mergeCell ref="A59:B59"/>
    <mergeCell ref="A60:B60"/>
    <mergeCell ref="A61:B61"/>
    <mergeCell ref="A41:B41"/>
    <mergeCell ref="I35:N35"/>
    <mergeCell ref="I36:M36"/>
    <mergeCell ref="I37:M37"/>
    <mergeCell ref="I38:M38"/>
    <mergeCell ref="I39:M39"/>
  </mergeCells>
  <phoneticPr fontId="0" type="noConversion"/>
  <pageMargins left="0.2" right="0.18" top="0.32" bottom="0.32" header="0.31496062992125984" footer="0.31496062992125984"/>
  <pageSetup paperSize="9" scale="78" orientation="landscape" r:id="rId1"/>
  <rowBreaks count="1" manualBreakCount="1">
    <brk id="26" max="14" man="1"/>
  </rowBreaks>
  <webPublishItems count="1">
    <webPublishItem id="14653" divId="Лицевой счет ул. 40 ЛЕТ ОКТЯБРЯ, д. 1_14653" sourceType="sheet" destinationFile="H:\ГЛ.Инженер\ЖИЛФОНД пгт ШЕРЕГЕШ\БД домов\40 лет октября 1\2010год\Лицевой счет ул. 40 ЛЕТ ОКТЯБРЯ, д. 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view="pageBreakPreview" zoomScaleSheetLayoutView="100" workbookViewId="0">
      <selection activeCell="K38" sqref="K38"/>
    </sheetView>
  </sheetViews>
  <sheetFormatPr defaultColWidth="9.140625" defaultRowHeight="15.75"/>
  <cols>
    <col min="1" max="1" width="45.140625" style="28" customWidth="1"/>
    <col min="2" max="2" width="8.5703125" style="28" customWidth="1"/>
    <col min="3" max="3" width="9.5703125" style="28" bestFit="1" customWidth="1"/>
    <col min="4" max="4" width="9" style="28" bestFit="1" customWidth="1"/>
    <col min="5" max="5" width="7.85546875" style="28" bestFit="1" customWidth="1"/>
    <col min="6" max="6" width="13.28515625" style="28" bestFit="1" customWidth="1"/>
    <col min="7" max="16384" width="9.140625" style="28"/>
  </cols>
  <sheetData>
    <row r="1" spans="1:6">
      <c r="A1" s="65" t="s">
        <v>89</v>
      </c>
      <c r="B1" s="65"/>
      <c r="C1" s="65"/>
      <c r="D1" s="65"/>
      <c r="E1" s="65"/>
      <c r="F1" s="65"/>
    </row>
    <row r="2" spans="1:6" ht="36" customHeight="1">
      <c r="A2" s="64" t="s">
        <v>90</v>
      </c>
      <c r="B2" s="64"/>
      <c r="C2" s="64"/>
      <c r="D2" s="64"/>
      <c r="E2" s="64"/>
      <c r="F2" s="29">
        <f>'2016'!N36</f>
        <v>72295.63</v>
      </c>
    </row>
    <row r="3" spans="1:6" ht="15.75" customHeight="1">
      <c r="A3" s="64" t="s">
        <v>101</v>
      </c>
      <c r="B3" s="64"/>
      <c r="C3" s="64"/>
      <c r="D3" s="64"/>
      <c r="E3" s="64"/>
      <c r="F3" s="29">
        <f>'2016'!O11</f>
        <v>451281.09000000008</v>
      </c>
    </row>
    <row r="4" spans="1:6" s="31" customFormat="1">
      <c r="A4" s="64" t="s">
        <v>91</v>
      </c>
      <c r="B4" s="64"/>
      <c r="C4" s="64"/>
      <c r="D4" s="64"/>
      <c r="E4" s="64"/>
      <c r="F4" s="29">
        <f>'2016'!O12</f>
        <v>425546.66</v>
      </c>
    </row>
    <row r="5" spans="1:6" s="31" customFormat="1" ht="35.450000000000003" customHeight="1">
      <c r="A5" s="66" t="s">
        <v>92</v>
      </c>
      <c r="B5" s="66"/>
      <c r="C5" s="66"/>
      <c r="D5" s="66"/>
      <c r="E5" s="66"/>
      <c r="F5" s="66"/>
    </row>
    <row r="6" spans="1:6">
      <c r="A6" s="64" t="str">
        <f>'2016'!A15:B15</f>
        <v>1. Услуга по управлению (1,38 руб.с кв.м)</v>
      </c>
      <c r="B6" s="64"/>
      <c r="C6" s="64"/>
      <c r="D6" s="64"/>
      <c r="E6" s="64"/>
      <c r="F6" s="29">
        <f>'2016'!O15</f>
        <v>45192.239999999991</v>
      </c>
    </row>
    <row r="7" spans="1:6">
      <c r="A7" s="64" t="str">
        <f>'2016'!A16:B16</f>
        <v>2. Техническое обслуживание (2,65 руб.с кв.м)</v>
      </c>
      <c r="B7" s="64"/>
      <c r="C7" s="64"/>
      <c r="D7" s="64"/>
      <c r="E7" s="64"/>
      <c r="F7" s="29">
        <f>'2016'!O16</f>
        <v>86754.91</v>
      </c>
    </row>
    <row r="8" spans="1:6">
      <c r="A8" s="64" t="str">
        <f>'2016'!A21:B21</f>
        <v>3. Услуги по начислению и сбору платежей (0,64 руб.с кв.м)</v>
      </c>
      <c r="B8" s="64"/>
      <c r="C8" s="64"/>
      <c r="D8" s="64"/>
      <c r="E8" s="64"/>
      <c r="F8" s="29">
        <f>'2016'!O21</f>
        <v>20958.72</v>
      </c>
    </row>
    <row r="9" spans="1:6" ht="15.75" customHeight="1">
      <c r="A9" s="64" t="str">
        <f>'2016'!A22:B22</f>
        <v>4. Санитарное содержание мест общего пользования (2,64 руб.с кв.м)</v>
      </c>
      <c r="B9" s="64"/>
      <c r="C9" s="64"/>
      <c r="D9" s="64"/>
      <c r="E9" s="64"/>
      <c r="F9" s="29">
        <f>'2016'!O22</f>
        <v>86454.719999999987</v>
      </c>
    </row>
    <row r="10" spans="1:6">
      <c r="A10" s="64" t="str">
        <f>'2016'!A23:B23</f>
        <v>5. АВР - диспетчерская служба (1,61 руб.с кв.м)</v>
      </c>
      <c r="B10" s="64"/>
      <c r="C10" s="64"/>
      <c r="D10" s="64"/>
      <c r="E10" s="64"/>
      <c r="F10" s="29">
        <f>'2016'!O23</f>
        <v>52724.280000000021</v>
      </c>
    </row>
    <row r="11" spans="1:6">
      <c r="A11" s="64" t="str">
        <f>'2016'!A24:B24</f>
        <v>6. Техническое обслуживание узла учета</v>
      </c>
      <c r="B11" s="64"/>
      <c r="C11" s="64"/>
      <c r="D11" s="64"/>
      <c r="E11" s="64"/>
      <c r="F11" s="29">
        <f>'2016'!O24</f>
        <v>26311.403999999999</v>
      </c>
    </row>
    <row r="12" spans="1:6" ht="15.75" customHeight="1">
      <c r="A12" s="64" t="str">
        <f>'2016'!A25:B25</f>
        <v>7. Паспортный стол (0,20 руб.с кв.м)</v>
      </c>
      <c r="B12" s="64"/>
      <c r="C12" s="64"/>
      <c r="D12" s="64"/>
      <c r="E12" s="64"/>
      <c r="F12" s="29">
        <f>'2016'!O25</f>
        <v>3274.8000000000006</v>
      </c>
    </row>
    <row r="13" spans="1:6">
      <c r="A13" s="64" t="str">
        <f>'2016'!A26:B26</f>
        <v>8. Механизированная уборка придомовой территории (1800 руб/час)</v>
      </c>
      <c r="B13" s="64"/>
      <c r="C13" s="64"/>
      <c r="D13" s="64"/>
      <c r="E13" s="64"/>
      <c r="F13" s="29">
        <f>'2016'!O26</f>
        <v>7066.4</v>
      </c>
    </row>
    <row r="14" spans="1:6">
      <c r="A14" s="64" t="str">
        <f>'2016'!A27:B27</f>
        <v>9. Очистка кровли</v>
      </c>
      <c r="B14" s="64"/>
      <c r="C14" s="64"/>
      <c r="D14" s="64"/>
      <c r="E14" s="64"/>
      <c r="F14" s="29">
        <f>'2016'!O27</f>
        <v>1450</v>
      </c>
    </row>
    <row r="15" spans="1:6">
      <c r="A15" s="51" t="s">
        <v>93</v>
      </c>
      <c r="B15" s="51"/>
      <c r="C15" s="51"/>
      <c r="D15" s="51"/>
      <c r="E15" s="51"/>
      <c r="F15" s="29">
        <f>SUM(F6:F14)</f>
        <v>330187.47399999999</v>
      </c>
    </row>
    <row r="16" spans="1:6">
      <c r="A16" s="34"/>
      <c r="B16" s="35"/>
      <c r="C16" s="35"/>
      <c r="D16" s="35"/>
      <c r="E16" s="35"/>
      <c r="F16" s="36"/>
    </row>
    <row r="17" spans="1:6">
      <c r="A17" s="40" t="s">
        <v>100</v>
      </c>
      <c r="B17" s="42"/>
      <c r="C17" s="29" t="s">
        <v>25</v>
      </c>
      <c r="D17" s="29" t="s">
        <v>94</v>
      </c>
      <c r="E17" s="32" t="s">
        <v>95</v>
      </c>
      <c r="F17" s="32" t="s">
        <v>96</v>
      </c>
    </row>
    <row r="18" spans="1:6">
      <c r="A18" s="37" t="str">
        <f>'2016'!A35:B35</f>
        <v>Ремонт ливневки</v>
      </c>
      <c r="B18" s="39"/>
      <c r="C18" s="15" t="str">
        <f>'2016'!C35</f>
        <v>январь</v>
      </c>
      <c r="D18" s="15" t="str">
        <f>'2016'!D35</f>
        <v xml:space="preserve"> м.п.</v>
      </c>
      <c r="E18" s="15">
        <f>'2016'!E35</f>
        <v>2</v>
      </c>
      <c r="F18" s="29">
        <f>'2016'!F35</f>
        <v>934.85</v>
      </c>
    </row>
    <row r="19" spans="1:6">
      <c r="A19" s="37" t="str">
        <f>'2016'!A36:B36</f>
        <v>Замена стояков кв 4/10</v>
      </c>
      <c r="B19" s="39"/>
      <c r="C19" s="15" t="str">
        <f>'2016'!C36</f>
        <v>январь</v>
      </c>
      <c r="D19" s="15" t="str">
        <f>'2016'!D36</f>
        <v xml:space="preserve"> м.п.</v>
      </c>
      <c r="E19" s="15">
        <f>'2016'!E36</f>
        <v>16</v>
      </c>
      <c r="F19" s="29">
        <f>'2016'!F36</f>
        <v>7759.72</v>
      </c>
    </row>
    <row r="20" spans="1:6">
      <c r="A20" s="37" t="str">
        <f>'2016'!A37:B37</f>
        <v>Освещение 3п. 3эт. (светильник лампа)</v>
      </c>
      <c r="B20" s="39"/>
      <c r="C20" s="15" t="str">
        <f>'2016'!C37</f>
        <v>январь</v>
      </c>
      <c r="D20" s="15" t="str">
        <f>'2016'!D37</f>
        <v>шт.</v>
      </c>
      <c r="E20" s="15">
        <f>'2016'!E37</f>
        <v>1</v>
      </c>
      <c r="F20" s="29">
        <f>'2016'!F37</f>
        <v>996</v>
      </c>
    </row>
    <row r="21" spans="1:6">
      <c r="A21" s="37" t="str">
        <f>'2016'!A38:B38</f>
        <v>Замена ст отопления кв 43/45</v>
      </c>
      <c r="B21" s="39"/>
      <c r="C21" s="15" t="str">
        <f>'2016'!C38</f>
        <v>февраль</v>
      </c>
      <c r="D21" s="15" t="str">
        <f>'2016'!D38</f>
        <v xml:space="preserve"> м.п.</v>
      </c>
      <c r="E21" s="15">
        <f>'2016'!E38</f>
        <v>8</v>
      </c>
      <c r="F21" s="29">
        <f>'2016'!F38</f>
        <v>4375.12</v>
      </c>
    </row>
    <row r="22" spans="1:6">
      <c r="A22" s="37" t="str">
        <f>'2016'!A39:B39</f>
        <v>замена ламп 3п 1,3 эт</v>
      </c>
      <c r="B22" s="39"/>
      <c r="C22" s="15" t="str">
        <f>'2016'!C39</f>
        <v>февраль</v>
      </c>
      <c r="D22" s="15" t="str">
        <f>'2016'!D39</f>
        <v>шт.</v>
      </c>
      <c r="E22" s="15">
        <f>'2016'!E39</f>
        <v>2</v>
      </c>
      <c r="F22" s="29">
        <f>'2016'!F39</f>
        <v>80.7</v>
      </c>
    </row>
    <row r="23" spans="1:6">
      <c r="A23" s="37" t="str">
        <f>'2016'!A40:B40</f>
        <v>Ремонт подъездов</v>
      </c>
      <c r="B23" s="39"/>
      <c r="C23" s="15" t="str">
        <f>'2016'!C40</f>
        <v>апрель</v>
      </c>
      <c r="D23" s="15" t="str">
        <f>'2016'!D40</f>
        <v>шт.</v>
      </c>
      <c r="E23" s="15">
        <f>'2016'!E40</f>
        <v>4</v>
      </c>
      <c r="F23" s="29">
        <f>'2016'!F40</f>
        <v>94840.5</v>
      </c>
    </row>
    <row r="24" spans="1:6">
      <c r="A24" s="37" t="str">
        <f>'2016'!A41:B41</f>
        <v>Установка радиаторов отопления</v>
      </c>
      <c r="B24" s="39"/>
      <c r="C24" s="15" t="str">
        <f>'2016'!C41</f>
        <v>апрель</v>
      </c>
      <c r="D24" s="15" t="str">
        <f>'2016'!D41</f>
        <v>шт.</v>
      </c>
      <c r="E24" s="15">
        <f>'2016'!E41</f>
        <v>4</v>
      </c>
      <c r="F24" s="29">
        <f>'2016'!F41</f>
        <v>47553.41</v>
      </c>
    </row>
    <row r="25" spans="1:6">
      <c r="A25" s="37" t="str">
        <f>'2016'!A42:B42</f>
        <v>Смена ламп 2п 1 эт</v>
      </c>
      <c r="B25" s="39"/>
      <c r="C25" s="15" t="str">
        <f>'2016'!C42</f>
        <v>апрель</v>
      </c>
      <c r="D25" s="15" t="str">
        <f>'2016'!D42</f>
        <v>шт.</v>
      </c>
      <c r="E25" s="15">
        <f>'2016'!E42</f>
        <v>2</v>
      </c>
      <c r="F25" s="29">
        <f>'2016'!F42</f>
        <v>40.35</v>
      </c>
    </row>
    <row r="26" spans="1:6">
      <c r="A26" s="37" t="str">
        <f>'2016'!A43:B43</f>
        <v>Демонтаж мусоропровода, ремонт пола 2п. 2эт</v>
      </c>
      <c r="B26" s="39"/>
      <c r="C26" s="15" t="str">
        <f>'2016'!C43</f>
        <v>апрель</v>
      </c>
      <c r="D26" s="15"/>
      <c r="E26" s="15"/>
      <c r="F26" s="29">
        <f>'2016'!F43</f>
        <v>1544.16</v>
      </c>
    </row>
    <row r="27" spans="1:6">
      <c r="A27" s="37" t="str">
        <f>'2016'!A44:B44</f>
        <v>Светильник 2,3 п</v>
      </c>
      <c r="B27" s="39"/>
      <c r="C27" s="15" t="str">
        <f>'2016'!C44</f>
        <v>апрель</v>
      </c>
      <c r="D27" s="15" t="str">
        <f>'2016'!D44</f>
        <v>шт.</v>
      </c>
      <c r="E27" s="15">
        <f>'2016'!E44</f>
        <v>2</v>
      </c>
      <c r="F27" s="29">
        <f>'2016'!F44</f>
        <v>1245.1600000000001</v>
      </c>
    </row>
    <row r="28" spans="1:6">
      <c r="A28" s="37" t="str">
        <f>'2016'!A45:B45</f>
        <v>Светильник 2 п</v>
      </c>
      <c r="B28" s="39"/>
      <c r="C28" s="15" t="str">
        <f>'2016'!C45</f>
        <v>апрель</v>
      </c>
      <c r="D28" s="15" t="str">
        <f>'2016'!D45</f>
        <v>шт.</v>
      </c>
      <c r="E28" s="15">
        <f>'2016'!E45</f>
        <v>1</v>
      </c>
      <c r="F28" s="29">
        <f>'2016'!F45</f>
        <v>622.9</v>
      </c>
    </row>
    <row r="29" spans="1:6">
      <c r="A29" s="37" t="str">
        <f>'2016'!A46:B46</f>
        <v>Светильник 3п</v>
      </c>
      <c r="B29" s="39"/>
      <c r="C29" s="15" t="str">
        <f>'2016'!C46</f>
        <v>апрель</v>
      </c>
      <c r="D29" s="15" t="str">
        <f>'2016'!D46</f>
        <v>шт.</v>
      </c>
      <c r="E29" s="15">
        <f>'2016'!E46</f>
        <v>1</v>
      </c>
      <c r="F29" s="29">
        <f>'2016'!F46</f>
        <v>222.9</v>
      </c>
    </row>
    <row r="30" spans="1:6">
      <c r="A30" s="37" t="str">
        <f>'2016'!A47:B47</f>
        <v>Замена лампы 1п 2эт , 2п 1эт</v>
      </c>
      <c r="B30" s="39"/>
      <c r="C30" s="15" t="str">
        <f>'2016'!C47</f>
        <v>май</v>
      </c>
      <c r="D30" s="15" t="str">
        <f>'2016'!D47</f>
        <v>шт.</v>
      </c>
      <c r="E30" s="15">
        <f>'2016'!E47</f>
        <v>2</v>
      </c>
      <c r="F30" s="29">
        <f>'2016'!F47</f>
        <v>1234.8800000000001</v>
      </c>
    </row>
    <row r="31" spans="1:6">
      <c r="A31" s="37" t="str">
        <f>'2016'!A48:B48</f>
        <v>Замена ст хгвс п/суш кв 27,30,33,36,39</v>
      </c>
      <c r="B31" s="39"/>
      <c r="C31" s="15" t="str">
        <f>'2016'!C48</f>
        <v>май</v>
      </c>
      <c r="D31" s="15" t="str">
        <f>'2016'!D48</f>
        <v>м.п.</v>
      </c>
      <c r="E31" s="15">
        <f>'2016'!E48</f>
        <v>56.5</v>
      </c>
      <c r="F31" s="29">
        <f>'2016'!F48</f>
        <v>28995.34</v>
      </c>
    </row>
    <row r="32" spans="1:6">
      <c r="A32" s="37" t="str">
        <f>'2016'!A49:B49</f>
        <v>Благоустройство придомовой территории (доломит)</v>
      </c>
      <c r="B32" s="39"/>
      <c r="C32" s="15" t="str">
        <f>'2016'!C49</f>
        <v>май</v>
      </c>
      <c r="D32" s="15"/>
      <c r="E32" s="15"/>
      <c r="F32" s="29">
        <f>'2016'!F49</f>
        <v>3600</v>
      </c>
    </row>
    <row r="33" spans="1:6">
      <c r="A33" s="37" t="str">
        <f>'2016'!A50:B50</f>
        <v>Ремонт лавочек</v>
      </c>
      <c r="B33" s="39"/>
      <c r="C33" s="15" t="str">
        <f>'2016'!C50</f>
        <v>июнь</v>
      </c>
      <c r="D33" s="15" t="str">
        <f>'2016'!D50</f>
        <v>шт.</v>
      </c>
      <c r="E33" s="15">
        <f>'2016'!E50</f>
        <v>4</v>
      </c>
      <c r="F33" s="29">
        <f>'2016'!F50</f>
        <v>3920</v>
      </c>
    </row>
    <row r="34" spans="1:6">
      <c r="A34" s="37" t="str">
        <f>'2016'!A51:B51</f>
        <v>Ремонт фасада (лоджия) штукатурка пелястры</v>
      </c>
      <c r="B34" s="39"/>
      <c r="C34" s="15" t="str">
        <f>'2016'!C51</f>
        <v>август</v>
      </c>
      <c r="D34" s="15"/>
      <c r="E34" s="15"/>
      <c r="F34" s="29">
        <f>'2016'!F51</f>
        <v>19344</v>
      </c>
    </row>
    <row r="35" spans="1:6">
      <c r="A35" s="37" t="str">
        <f>'2016'!A52:B52</f>
        <v>Замена светильника 2п1эт</v>
      </c>
      <c r="B35" s="39"/>
      <c r="C35" s="15" t="str">
        <f>'2016'!C52</f>
        <v>сентябрь</v>
      </c>
      <c r="D35" s="15" t="str">
        <f>'2016'!D52</f>
        <v>шт.</v>
      </c>
      <c r="E35" s="15"/>
      <c r="F35" s="29">
        <f>'2016'!F52</f>
        <v>1392.47</v>
      </c>
    </row>
    <row r="36" spans="1:6">
      <c r="A36" s="37" t="str">
        <f>'2016'!A53:B53</f>
        <v>Ремонт ст.п/сушителя (подвал)</v>
      </c>
      <c r="B36" s="39"/>
      <c r="C36" s="15" t="str">
        <f>'2016'!C53</f>
        <v>сентябрь</v>
      </c>
      <c r="D36" s="15"/>
      <c r="E36" s="15"/>
      <c r="F36" s="29">
        <f>'2016'!F53</f>
        <v>223</v>
      </c>
    </row>
    <row r="37" spans="1:6">
      <c r="A37" s="37" t="str">
        <f>'2016'!A54:B54</f>
        <v>Замена кабеля наружного освещения</v>
      </c>
      <c r="B37" s="39"/>
      <c r="C37" s="15" t="str">
        <f>'2016'!C54</f>
        <v>сентябрь</v>
      </c>
      <c r="D37" s="15"/>
      <c r="E37" s="15"/>
      <c r="F37" s="29">
        <f>'2016'!F54</f>
        <v>23809.67</v>
      </c>
    </row>
    <row r="38" spans="1:6">
      <c r="A38" s="37" t="str">
        <f>'2016'!A55:B55</f>
        <v>Замена светильника 2п 2эт</v>
      </c>
      <c r="B38" s="39"/>
      <c r="C38" s="15" t="str">
        <f>'2016'!C55</f>
        <v>сентябрь</v>
      </c>
      <c r="D38" s="15"/>
      <c r="E38" s="15"/>
      <c r="F38" s="29">
        <f>'2016'!F55</f>
        <v>1392.47</v>
      </c>
    </row>
    <row r="39" spans="1:6">
      <c r="A39" s="37" t="str">
        <f>'2016'!A56:B56</f>
        <v>Асфальтирование придомовой территории</v>
      </c>
      <c r="B39" s="39"/>
      <c r="C39" s="15" t="str">
        <f>'2016'!C56</f>
        <v>сентябрь</v>
      </c>
      <c r="D39" s="15"/>
      <c r="E39" s="15"/>
      <c r="F39" s="29">
        <f>'2016'!F56</f>
        <v>51249.599999999999</v>
      </c>
    </row>
    <row r="40" spans="1:6">
      <c r="A40" s="37" t="str">
        <f>'2016'!A57:B57</f>
        <v>Ремонт кровли</v>
      </c>
      <c r="B40" s="39"/>
      <c r="C40" s="15" t="str">
        <f>'2016'!C57</f>
        <v>октябрь</v>
      </c>
      <c r="D40" s="15" t="str">
        <f>'2016'!D57</f>
        <v>м.п.</v>
      </c>
      <c r="E40" s="15">
        <f>'2016'!E57</f>
        <v>5</v>
      </c>
      <c r="F40" s="29">
        <f>'2016'!F57</f>
        <v>2936.27</v>
      </c>
    </row>
    <row r="41" spans="1:6">
      <c r="A41" s="37" t="str">
        <f>'2016'!A58:B58</f>
        <v>Установка замков</v>
      </c>
      <c r="B41" s="39"/>
      <c r="C41" s="15" t="str">
        <f>'2016'!C58</f>
        <v>ноябрь</v>
      </c>
      <c r="D41" s="15" t="str">
        <f>'2016'!D58</f>
        <v>шт.</v>
      </c>
      <c r="E41" s="15">
        <f>'2016'!E58</f>
        <v>1</v>
      </c>
      <c r="F41" s="29">
        <f>'2016'!F58</f>
        <v>400</v>
      </c>
    </row>
    <row r="42" spans="1:6">
      <c r="A42" s="37" t="str">
        <f>'2016'!A59:B59</f>
        <v>Замена стояка отопления кв 31/34</v>
      </c>
      <c r="B42" s="39"/>
      <c r="C42" s="15" t="str">
        <f>'2016'!C59</f>
        <v>декабрь</v>
      </c>
      <c r="D42" s="15" t="str">
        <f>'2016'!D59</f>
        <v>м.п.</v>
      </c>
      <c r="E42" s="15">
        <f>'2016'!E59</f>
        <v>4</v>
      </c>
      <c r="F42" s="33">
        <f>'2016'!F59</f>
        <v>1600.73</v>
      </c>
    </row>
    <row r="43" spans="1:6">
      <c r="A43" s="34" t="s">
        <v>93</v>
      </c>
      <c r="B43" s="35"/>
      <c r="C43" s="35"/>
      <c r="D43" s="35"/>
      <c r="E43" s="36"/>
      <c r="F43" s="32">
        <f>SUM(F18:F42)</f>
        <v>300314.2</v>
      </c>
    </row>
    <row r="44" spans="1:6">
      <c r="A44" s="34" t="s">
        <v>102</v>
      </c>
      <c r="B44" s="35"/>
      <c r="C44" s="35"/>
      <c r="D44" s="35"/>
      <c r="E44" s="36"/>
      <c r="F44" s="29">
        <f>F15+F43</f>
        <v>630501.674</v>
      </c>
    </row>
    <row r="45" spans="1:6">
      <c r="A45" s="34" t="s">
        <v>97</v>
      </c>
      <c r="B45" s="35"/>
      <c r="C45" s="35"/>
      <c r="D45" s="35"/>
      <c r="E45" s="36"/>
      <c r="F45" s="29">
        <f>'2016'!N37</f>
        <v>-204982.30400000003</v>
      </c>
    </row>
    <row r="46" spans="1:6" ht="35.450000000000003" customHeight="1">
      <c r="A46" s="64" t="s">
        <v>98</v>
      </c>
      <c r="B46" s="64"/>
      <c r="C46" s="64"/>
      <c r="D46" s="64"/>
      <c r="E46" s="64"/>
      <c r="F46" s="29">
        <f>'2016'!N39</f>
        <v>-132686.67400000003</v>
      </c>
    </row>
  </sheetData>
  <mergeCells count="46">
    <mergeCell ref="A6:E6"/>
    <mergeCell ref="A1:F1"/>
    <mergeCell ref="A2:E2"/>
    <mergeCell ref="A3:E3"/>
    <mergeCell ref="A4:E4"/>
    <mergeCell ref="A5:F5"/>
    <mergeCell ref="A28:B28"/>
    <mergeCell ref="A7:E7"/>
    <mergeCell ref="A8:E8"/>
    <mergeCell ref="A9:E9"/>
    <mergeCell ref="A11:E11"/>
    <mergeCell ref="A13:E13"/>
    <mergeCell ref="A12:E12"/>
    <mergeCell ref="A10:E10"/>
    <mergeCell ref="A41:B41"/>
    <mergeCell ref="A46:E4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43:E43"/>
    <mergeCell ref="A44:E44"/>
    <mergeCell ref="A45:E45"/>
    <mergeCell ref="A26:B26"/>
    <mergeCell ref="A27:B27"/>
    <mergeCell ref="A42:B42"/>
    <mergeCell ref="A14:E14"/>
    <mergeCell ref="A30:B30"/>
    <mergeCell ref="A31:B31"/>
    <mergeCell ref="A32:B32"/>
    <mergeCell ref="A33:B33"/>
    <mergeCell ref="A34:B34"/>
    <mergeCell ref="A35:B35"/>
    <mergeCell ref="A36:B36"/>
    <mergeCell ref="A15:E15"/>
    <mergeCell ref="A16:F16"/>
    <mergeCell ref="A29:B29"/>
    <mergeCell ref="A37:B37"/>
    <mergeCell ref="A38:B38"/>
    <mergeCell ref="A39:B39"/>
    <mergeCell ref="A40:B40"/>
  </mergeCells>
  <pageMargins left="0.18" right="0.18" top="0.21" bottom="0.2" header="0.18" footer="0.18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</vt:lpstr>
      <vt:lpstr>Лист1</vt:lpstr>
      <vt:lpstr>'2016'!Область_печати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</dc:creator>
  <cp:lastModifiedBy>User</cp:lastModifiedBy>
  <cp:lastPrinted>2017-04-05T01:52:02Z</cp:lastPrinted>
  <dcterms:created xsi:type="dcterms:W3CDTF">2010-11-14T08:15:18Z</dcterms:created>
  <dcterms:modified xsi:type="dcterms:W3CDTF">2017-06-27T08:20:07Z</dcterms:modified>
</cp:coreProperties>
</file>