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ООО Комфорт\2014\Лицевые счета\2014 год\"/>
    </mc:Choice>
  </mc:AlternateContent>
  <bookViews>
    <workbookView xWindow="240" yWindow="105" windowWidth="15480" windowHeight="8130"/>
  </bookViews>
  <sheets>
    <sheet name="2014 год" sheetId="1" r:id="rId1"/>
    <sheet name="Лист1 (2)" sheetId="4" r:id="rId2"/>
  </sheets>
  <definedNames>
    <definedName name="_xlnm.Print_Area" localSheetId="0">'2014 год'!$A$1:$O$53</definedName>
    <definedName name="_xlnm.Print_Area" localSheetId="1">'Лист1 (2)'!$A$1:$AH$71</definedName>
  </definedNames>
  <calcPr calcId="152511"/>
  <webPublishing codePage="65001"/>
</workbook>
</file>

<file path=xl/calcChain.xml><?xml version="1.0" encoding="utf-8"?>
<calcChain xmlns="http://schemas.openxmlformats.org/spreadsheetml/2006/main">
  <c r="F49" i="1" l="1"/>
  <c r="E17" i="1"/>
  <c r="D16" i="1"/>
  <c r="E16" i="1"/>
  <c r="F43" i="1" l="1"/>
  <c r="E21" i="1"/>
  <c r="D21" i="1"/>
  <c r="D18" i="1"/>
  <c r="C17" i="1"/>
  <c r="D17" i="1"/>
  <c r="F17" i="1"/>
  <c r="G17" i="1"/>
  <c r="H17" i="1"/>
  <c r="I17" i="1"/>
  <c r="J17" i="1"/>
  <c r="K17" i="1"/>
  <c r="L17" i="1"/>
  <c r="M17" i="1"/>
  <c r="N17" i="1"/>
  <c r="D15" i="1"/>
  <c r="E15" i="1"/>
  <c r="F38" i="1" l="1"/>
  <c r="F39" i="1"/>
  <c r="F40" i="1"/>
  <c r="F41" i="1"/>
  <c r="F44" i="1"/>
  <c r="F45" i="1"/>
  <c r="F46" i="1"/>
  <c r="F47" i="1"/>
  <c r="F48" i="1"/>
  <c r="E49" i="1"/>
  <c r="F37" i="1"/>
  <c r="F36" i="1"/>
  <c r="O24" i="1"/>
  <c r="O6" i="1"/>
  <c r="O8" i="1"/>
  <c r="O9" i="1"/>
  <c r="O14" i="1"/>
  <c r="O20" i="1"/>
  <c r="O22" i="1"/>
  <c r="O23" i="1"/>
  <c r="O25" i="1"/>
  <c r="O28" i="1"/>
  <c r="O29" i="1"/>
  <c r="O5" i="1"/>
  <c r="D26" i="1"/>
  <c r="F26" i="1"/>
  <c r="G26" i="1"/>
  <c r="H26" i="1"/>
  <c r="I26" i="1"/>
  <c r="J26" i="1"/>
  <c r="K26" i="1"/>
  <c r="L26" i="1"/>
  <c r="M26" i="1"/>
  <c r="N26" i="1"/>
  <c r="C26" i="1"/>
  <c r="O21" i="1"/>
  <c r="O19" i="1"/>
  <c r="E18" i="1"/>
  <c r="O18" i="1" s="1"/>
  <c r="O17" i="1"/>
  <c r="O16" i="1"/>
  <c r="E26" i="1" l="1"/>
  <c r="O26" i="1"/>
  <c r="O15" i="1"/>
  <c r="D12" i="1"/>
  <c r="E12" i="1"/>
  <c r="E27" i="1" s="1"/>
  <c r="F12" i="1"/>
  <c r="G12" i="1"/>
  <c r="H12" i="1"/>
  <c r="I12" i="1"/>
  <c r="J12" i="1"/>
  <c r="K12" i="1"/>
  <c r="L12" i="1"/>
  <c r="M12" i="1"/>
  <c r="N12" i="1"/>
  <c r="C12" i="1"/>
  <c r="D11" i="1"/>
  <c r="E11" i="1"/>
  <c r="F11" i="1"/>
  <c r="G11" i="1"/>
  <c r="H11" i="1"/>
  <c r="I11" i="1"/>
  <c r="J11" i="1"/>
  <c r="K11" i="1"/>
  <c r="L11" i="1"/>
  <c r="M11" i="1"/>
  <c r="N11" i="1"/>
  <c r="C11" i="1"/>
  <c r="D7" i="1"/>
  <c r="D13" i="1" s="1"/>
  <c r="E7" i="1"/>
  <c r="E13" i="1" s="1"/>
  <c r="F7" i="1"/>
  <c r="F13" i="1" s="1"/>
  <c r="G7" i="1"/>
  <c r="G13" i="1" s="1"/>
  <c r="H7" i="1"/>
  <c r="H13" i="1" s="1"/>
  <c r="I7" i="1"/>
  <c r="I13" i="1" s="1"/>
  <c r="J7" i="1"/>
  <c r="J13" i="1" s="1"/>
  <c r="K7" i="1"/>
  <c r="K13" i="1" s="1"/>
  <c r="L7" i="1"/>
  <c r="L13" i="1" s="1"/>
  <c r="M7" i="1"/>
  <c r="M13" i="1" s="1"/>
  <c r="N7" i="1"/>
  <c r="N13" i="1" s="1"/>
  <c r="C7" i="1"/>
  <c r="AD8" i="4"/>
  <c r="AD11" i="4"/>
  <c r="AD14" i="4"/>
  <c r="AD15" i="4"/>
  <c r="AD20" i="4"/>
  <c r="AD21" i="4"/>
  <c r="AD22" i="4"/>
  <c r="AD23" i="4"/>
  <c r="AD24" i="4"/>
  <c r="AD25" i="4"/>
  <c r="AD29" i="4"/>
  <c r="AD30" i="4"/>
  <c r="AD31" i="4"/>
  <c r="AD32" i="4"/>
  <c r="AD33" i="4"/>
  <c r="AD36" i="4"/>
  <c r="AD37" i="4"/>
  <c r="AD41" i="4"/>
  <c r="AD43" i="4"/>
  <c r="AD44" i="4"/>
  <c r="AD5" i="4"/>
  <c r="O8" i="4"/>
  <c r="O11" i="4"/>
  <c r="O14" i="4"/>
  <c r="O15" i="4"/>
  <c r="O20" i="4"/>
  <c r="O21" i="4"/>
  <c r="AF21" i="4" s="1"/>
  <c r="O22" i="4"/>
  <c r="AF22" i="4" s="1"/>
  <c r="O24" i="4"/>
  <c r="AF24" i="4" s="1"/>
  <c r="O25" i="4"/>
  <c r="AF25" i="4" s="1"/>
  <c r="O28" i="4"/>
  <c r="O29" i="4"/>
  <c r="AF29" i="4" s="1"/>
  <c r="O30" i="4"/>
  <c r="AF30" i="4" s="1"/>
  <c r="O31" i="4"/>
  <c r="AF31" i="4" s="1"/>
  <c r="O32" i="4"/>
  <c r="AF32" i="4" s="1"/>
  <c r="O33" i="4"/>
  <c r="AF33" i="4" s="1"/>
  <c r="O36" i="4"/>
  <c r="AF36" i="4" s="1"/>
  <c r="O37" i="4"/>
  <c r="AF37" i="4" s="1"/>
  <c r="O41" i="4"/>
  <c r="AF41" i="4" s="1"/>
  <c r="O43" i="4"/>
  <c r="AF43" i="4" s="1"/>
  <c r="O44" i="4"/>
  <c r="AF44" i="4" s="1"/>
  <c r="O5" i="4"/>
  <c r="AC45" i="4"/>
  <c r="AC46" i="4" s="1"/>
  <c r="AB52" i="4" s="1"/>
  <c r="AB45" i="4"/>
  <c r="AA45" i="4"/>
  <c r="Z45" i="4"/>
  <c r="Y45" i="4"/>
  <c r="X45" i="4"/>
  <c r="W45" i="4"/>
  <c r="V45" i="4"/>
  <c r="U45" i="4"/>
  <c r="T45" i="4"/>
  <c r="S45" i="4"/>
  <c r="R45" i="4"/>
  <c r="AD45" i="4" s="1"/>
  <c r="AB42" i="4"/>
  <c r="AA42" i="4"/>
  <c r="Z42" i="4"/>
  <c r="Y42" i="4"/>
  <c r="X42" i="4"/>
  <c r="V42" i="4"/>
  <c r="V46" i="4" s="1"/>
  <c r="U42" i="4"/>
  <c r="U46" i="4" s="1"/>
  <c r="T42" i="4"/>
  <c r="T46" i="4" s="1"/>
  <c r="S42" i="4"/>
  <c r="S46" i="4" s="1"/>
  <c r="R42" i="4"/>
  <c r="R46" i="4" s="1"/>
  <c r="W40" i="4"/>
  <c r="AD40" i="4" s="1"/>
  <c r="AC35" i="4"/>
  <c r="AB35" i="4"/>
  <c r="AA35" i="4"/>
  <c r="Z35" i="4"/>
  <c r="Y35" i="4"/>
  <c r="X35" i="4"/>
  <c r="W34" i="4"/>
  <c r="AD34" i="4" s="1"/>
  <c r="AB29" i="4"/>
  <c r="AC28" i="4"/>
  <c r="W28" i="4"/>
  <c r="AD28" i="4" s="1"/>
  <c r="AC27" i="4"/>
  <c r="AC38" i="4" s="1"/>
  <c r="AB27" i="4"/>
  <c r="AB38" i="4" s="1"/>
  <c r="AA27" i="4"/>
  <c r="AA38" i="4" s="1"/>
  <c r="Z27" i="4"/>
  <c r="Z38" i="4" s="1"/>
  <c r="Y27" i="4"/>
  <c r="Y38" i="4" s="1"/>
  <c r="X27" i="4"/>
  <c r="W27" i="4"/>
  <c r="V27" i="4"/>
  <c r="U27" i="4"/>
  <c r="T27" i="4"/>
  <c r="S27" i="4"/>
  <c r="AD27" i="4" s="1"/>
  <c r="R27" i="4"/>
  <c r="X26" i="4"/>
  <c r="X38" i="4" s="1"/>
  <c r="V26" i="4"/>
  <c r="U26" i="4"/>
  <c r="S26" i="4"/>
  <c r="R26" i="4"/>
  <c r="AD26" i="4" s="1"/>
  <c r="AC18" i="4"/>
  <c r="AB18" i="4"/>
  <c r="AB39" i="4" s="1"/>
  <c r="AA18" i="4"/>
  <c r="Z18" i="4"/>
  <c r="Z39" i="4" s="1"/>
  <c r="Y18" i="4"/>
  <c r="X18" i="4"/>
  <c r="X39" i="4" s="1"/>
  <c r="AC17" i="4"/>
  <c r="AB17" i="4"/>
  <c r="AA17" i="4"/>
  <c r="Z17" i="4"/>
  <c r="Y17" i="4"/>
  <c r="X17" i="4"/>
  <c r="W17" i="4"/>
  <c r="V17" i="4"/>
  <c r="U17" i="4"/>
  <c r="T17" i="4"/>
  <c r="S17" i="4"/>
  <c r="R17" i="4"/>
  <c r="AD17" i="4" s="1"/>
  <c r="AC16" i="4"/>
  <c r="AB16" i="4"/>
  <c r="AA16" i="4"/>
  <c r="Z16" i="4"/>
  <c r="Y16" i="4"/>
  <c r="X16" i="4"/>
  <c r="W16" i="4"/>
  <c r="V16" i="4"/>
  <c r="U16" i="4"/>
  <c r="T16" i="4"/>
  <c r="S16" i="4"/>
  <c r="R16" i="4"/>
  <c r="AD16" i="4" s="1"/>
  <c r="AC13" i="4"/>
  <c r="AB13" i="4"/>
  <c r="AA13" i="4"/>
  <c r="Z13" i="4"/>
  <c r="Y13" i="4"/>
  <c r="X13" i="4"/>
  <c r="W12" i="4"/>
  <c r="W13" i="4" s="1"/>
  <c r="V12" i="4"/>
  <c r="V13" i="4" s="1"/>
  <c r="U12" i="4"/>
  <c r="U13" i="4" s="1"/>
  <c r="T12" i="4"/>
  <c r="T13" i="4" s="1"/>
  <c r="S12" i="4"/>
  <c r="S13" i="4" s="1"/>
  <c r="R12" i="4"/>
  <c r="AD12" i="4" s="1"/>
  <c r="AC10" i="4"/>
  <c r="AB10" i="4"/>
  <c r="AA10" i="4"/>
  <c r="Z10" i="4"/>
  <c r="Y10" i="4"/>
  <c r="X10" i="4"/>
  <c r="W9" i="4"/>
  <c r="V9" i="4"/>
  <c r="V35" i="4" s="1"/>
  <c r="U9" i="4"/>
  <c r="U35" i="4" s="1"/>
  <c r="T9" i="4"/>
  <c r="T35" i="4" s="1"/>
  <c r="S9" i="4"/>
  <c r="S35" i="4" s="1"/>
  <c r="R9" i="4"/>
  <c r="R35" i="4" s="1"/>
  <c r="AC7" i="4"/>
  <c r="AB7" i="4"/>
  <c r="AA7" i="4"/>
  <c r="Z7" i="4"/>
  <c r="Y7" i="4"/>
  <c r="X7" i="4"/>
  <c r="W6" i="4"/>
  <c r="W7" i="4" s="1"/>
  <c r="V6" i="4"/>
  <c r="V18" i="4" s="1"/>
  <c r="U6" i="4"/>
  <c r="U7" i="4" s="1"/>
  <c r="T6" i="4"/>
  <c r="T18" i="4" s="1"/>
  <c r="S6" i="4"/>
  <c r="S7" i="4" s="1"/>
  <c r="R6" i="4"/>
  <c r="R18" i="4" s="1"/>
  <c r="N23" i="4"/>
  <c r="O7" i="1" l="1"/>
  <c r="O11" i="1"/>
  <c r="O12" i="1"/>
  <c r="AF28" i="4"/>
  <c r="AD9" i="4"/>
  <c r="W35" i="4"/>
  <c r="AD35" i="4" s="1"/>
  <c r="X46" i="4"/>
  <c r="Z46" i="4"/>
  <c r="AB46" i="4"/>
  <c r="AD6" i="4"/>
  <c r="Y19" i="4"/>
  <c r="AA19" i="4"/>
  <c r="AC19" i="4"/>
  <c r="Y46" i="4"/>
  <c r="AA46" i="4"/>
  <c r="R19" i="4"/>
  <c r="T19" i="4"/>
  <c r="V19" i="4"/>
  <c r="R38" i="4"/>
  <c r="U38" i="4"/>
  <c r="W38" i="4"/>
  <c r="S38" i="4"/>
  <c r="V38" i="4"/>
  <c r="V39" i="4" s="1"/>
  <c r="T38" i="4"/>
  <c r="T39" i="4" s="1"/>
  <c r="R7" i="4"/>
  <c r="T7" i="4"/>
  <c r="V7" i="4"/>
  <c r="S10" i="4"/>
  <c r="U10" i="4"/>
  <c r="W10" i="4"/>
  <c r="R13" i="4"/>
  <c r="AD13" i="4" s="1"/>
  <c r="S18" i="4"/>
  <c r="AD18" i="4" s="1"/>
  <c r="U18" i="4"/>
  <c r="W18" i="4"/>
  <c r="X19" i="4"/>
  <c r="Z19" i="4"/>
  <c r="AB19" i="4"/>
  <c r="Y39" i="4"/>
  <c r="AA39" i="4"/>
  <c r="AC39" i="4"/>
  <c r="W42" i="4"/>
  <c r="W46" i="4" s="1"/>
  <c r="AD46" i="4" s="1"/>
  <c r="R10" i="4"/>
  <c r="T10" i="4"/>
  <c r="V10" i="4"/>
  <c r="D65" i="4"/>
  <c r="D60" i="4"/>
  <c r="N45" i="4"/>
  <c r="N46" i="4" s="1"/>
  <c r="M45" i="4"/>
  <c r="L45" i="4"/>
  <c r="L46" i="4" s="1"/>
  <c r="K45" i="4"/>
  <c r="J45" i="4"/>
  <c r="J46" i="4" s="1"/>
  <c r="I45" i="4"/>
  <c r="H45" i="4"/>
  <c r="G45" i="4"/>
  <c r="F45" i="4"/>
  <c r="E45" i="4"/>
  <c r="D45" i="4"/>
  <c r="C45" i="4"/>
  <c r="M42" i="4"/>
  <c r="M46" i="4" s="1"/>
  <c r="L42" i="4"/>
  <c r="K42" i="4"/>
  <c r="K46" i="4" s="1"/>
  <c r="J42" i="4"/>
  <c r="I42" i="4"/>
  <c r="I46" i="4" s="1"/>
  <c r="G42" i="4"/>
  <c r="G46" i="4" s="1"/>
  <c r="F42" i="4"/>
  <c r="E42" i="4"/>
  <c r="E46" i="4" s="1"/>
  <c r="D42" i="4"/>
  <c r="C42" i="4"/>
  <c r="H40" i="4"/>
  <c r="O40" i="4" s="1"/>
  <c r="AF40" i="4" s="1"/>
  <c r="N35" i="4"/>
  <c r="M35" i="4"/>
  <c r="L35" i="4"/>
  <c r="K35" i="4"/>
  <c r="J34" i="4"/>
  <c r="J35" i="4" s="1"/>
  <c r="I34" i="4"/>
  <c r="I35" i="4" s="1"/>
  <c r="H34" i="4"/>
  <c r="E34" i="4"/>
  <c r="O34" i="4" s="1"/>
  <c r="AF34" i="4" s="1"/>
  <c r="N27" i="4"/>
  <c r="M27" i="4"/>
  <c r="L27" i="4"/>
  <c r="K27" i="4"/>
  <c r="J27" i="4"/>
  <c r="I27" i="4"/>
  <c r="H27" i="4"/>
  <c r="G27" i="4"/>
  <c r="E27" i="4"/>
  <c r="C27" i="4"/>
  <c r="O27" i="4" s="1"/>
  <c r="AF27" i="4" s="1"/>
  <c r="I26" i="4"/>
  <c r="H26" i="4"/>
  <c r="G26" i="4"/>
  <c r="F26" i="4"/>
  <c r="O26" i="4" s="1"/>
  <c r="AF26" i="4" s="1"/>
  <c r="H23" i="4"/>
  <c r="O23" i="4" s="1"/>
  <c r="AF23" i="4" s="1"/>
  <c r="AF20" i="4"/>
  <c r="N18" i="4"/>
  <c r="M18" i="4"/>
  <c r="L18" i="4"/>
  <c r="K18" i="4"/>
  <c r="J18" i="4"/>
  <c r="I18" i="4"/>
  <c r="N17" i="4"/>
  <c r="M17" i="4"/>
  <c r="M19" i="4" s="1"/>
  <c r="L17" i="4"/>
  <c r="K17" i="4"/>
  <c r="K19" i="4" s="1"/>
  <c r="J17" i="4"/>
  <c r="I17" i="4"/>
  <c r="I19" i="4" s="1"/>
  <c r="H17" i="4"/>
  <c r="G17" i="4"/>
  <c r="F17" i="4"/>
  <c r="E17" i="4"/>
  <c r="D17" i="4"/>
  <c r="C17" i="4"/>
  <c r="O17" i="4" s="1"/>
  <c r="N16" i="4"/>
  <c r="M16" i="4"/>
  <c r="L16" i="4"/>
  <c r="K16" i="4"/>
  <c r="J16" i="4"/>
  <c r="I16" i="4"/>
  <c r="H16" i="4"/>
  <c r="G16" i="4"/>
  <c r="F16" i="4"/>
  <c r="E16" i="4"/>
  <c r="D16" i="4"/>
  <c r="C16" i="4"/>
  <c r="O16" i="4" s="1"/>
  <c r="AF15" i="4"/>
  <c r="AF14" i="4"/>
  <c r="N13" i="4"/>
  <c r="M13" i="4"/>
  <c r="L13" i="4"/>
  <c r="K13" i="4"/>
  <c r="J13" i="4"/>
  <c r="I13" i="4"/>
  <c r="H12" i="4"/>
  <c r="H13" i="4" s="1"/>
  <c r="G12" i="4"/>
  <c r="G13" i="4" s="1"/>
  <c r="F12" i="4"/>
  <c r="F13" i="4" s="1"/>
  <c r="E12" i="4"/>
  <c r="E13" i="4" s="1"/>
  <c r="D12" i="4"/>
  <c r="D13" i="4" s="1"/>
  <c r="C12" i="4"/>
  <c r="AF11" i="4"/>
  <c r="N10" i="4"/>
  <c r="M10" i="4"/>
  <c r="L10" i="4"/>
  <c r="K10" i="4"/>
  <c r="J10" i="4"/>
  <c r="I10" i="4"/>
  <c r="H9" i="4"/>
  <c r="H35" i="4" s="1"/>
  <c r="H38" i="4" s="1"/>
  <c r="G9" i="4"/>
  <c r="G35" i="4" s="1"/>
  <c r="F9" i="4"/>
  <c r="F35" i="4" s="1"/>
  <c r="F38" i="4" s="1"/>
  <c r="E9" i="4"/>
  <c r="D9" i="4"/>
  <c r="D35" i="4" s="1"/>
  <c r="D38" i="4" s="1"/>
  <c r="C9" i="4"/>
  <c r="AF8" i="4"/>
  <c r="N7" i="4"/>
  <c r="M7" i="4"/>
  <c r="L7" i="4"/>
  <c r="K7" i="4"/>
  <c r="J7" i="4"/>
  <c r="I7" i="4"/>
  <c r="H6" i="4"/>
  <c r="H7" i="4" s="1"/>
  <c r="G6" i="4"/>
  <c r="G18" i="4" s="1"/>
  <c r="F6" i="4"/>
  <c r="F7" i="4" s="1"/>
  <c r="E6" i="4"/>
  <c r="E18" i="4" s="1"/>
  <c r="D6" i="4"/>
  <c r="D7" i="4" s="1"/>
  <c r="C6" i="4"/>
  <c r="AF5" i="4"/>
  <c r="D49" i="1"/>
  <c r="C18" i="4" l="1"/>
  <c r="O6" i="4"/>
  <c r="H10" i="4"/>
  <c r="AF12" i="4"/>
  <c r="O12" i="4"/>
  <c r="AD7" i="4"/>
  <c r="R39" i="4"/>
  <c r="AD38" i="4"/>
  <c r="AD42" i="4"/>
  <c r="C35" i="4"/>
  <c r="O9" i="4"/>
  <c r="E35" i="4"/>
  <c r="E38" i="4" s="1"/>
  <c r="E39" i="4" s="1"/>
  <c r="G38" i="4"/>
  <c r="D10" i="4"/>
  <c r="J38" i="4"/>
  <c r="O42" i="4"/>
  <c r="AF42" i="4" s="1"/>
  <c r="O45" i="4"/>
  <c r="AF45" i="4" s="1"/>
  <c r="AD10" i="4"/>
  <c r="C46" i="4"/>
  <c r="C7" i="4"/>
  <c r="G7" i="4"/>
  <c r="E7" i="4"/>
  <c r="F10" i="4"/>
  <c r="AF16" i="4"/>
  <c r="AF17" i="4"/>
  <c r="L38" i="4"/>
  <c r="L39" i="4" s="1"/>
  <c r="N38" i="4"/>
  <c r="H42" i="4"/>
  <c r="H46" i="4" s="1"/>
  <c r="C13" i="4"/>
  <c r="O13" i="4" s="1"/>
  <c r="AF13" i="4" s="1"/>
  <c r="J39" i="4"/>
  <c r="N39" i="4"/>
  <c r="I38" i="4"/>
  <c r="I39" i="4" s="1"/>
  <c r="K38" i="4"/>
  <c r="K39" i="4" s="1"/>
  <c r="M38" i="4"/>
  <c r="M39" i="4" s="1"/>
  <c r="D46" i="4"/>
  <c r="F46" i="4"/>
  <c r="W19" i="4"/>
  <c r="W39" i="4"/>
  <c r="S19" i="4"/>
  <c r="AD19" i="4" s="1"/>
  <c r="S39" i="4"/>
  <c r="U19" i="4"/>
  <c r="U39" i="4"/>
  <c r="C19" i="4"/>
  <c r="E19" i="4"/>
  <c r="G39" i="4"/>
  <c r="G19" i="4"/>
  <c r="AF9" i="4"/>
  <c r="F18" i="4"/>
  <c r="H18" i="4"/>
  <c r="D18" i="4"/>
  <c r="AF6" i="4"/>
  <c r="C10" i="4"/>
  <c r="E10" i="4"/>
  <c r="G10" i="4"/>
  <c r="J19" i="4"/>
  <c r="L19" i="4"/>
  <c r="N19" i="4"/>
  <c r="O46" i="4" l="1"/>
  <c r="AF46" i="4" s="1"/>
  <c r="O35" i="4"/>
  <c r="AF35" i="4" s="1"/>
  <c r="O10" i="4"/>
  <c r="C38" i="4"/>
  <c r="O38" i="4" s="1"/>
  <c r="AF38" i="4" s="1"/>
  <c r="O7" i="4"/>
  <c r="AF7" i="4" s="1"/>
  <c r="AD39" i="4"/>
  <c r="O18" i="4"/>
  <c r="AF18" i="4" s="1"/>
  <c r="AB51" i="4"/>
  <c r="H39" i="4"/>
  <c r="H19" i="4"/>
  <c r="D39" i="4"/>
  <c r="D19" i="4"/>
  <c r="O19" i="4" s="1"/>
  <c r="F39" i="4"/>
  <c r="F19" i="4"/>
  <c r="AF10" i="4"/>
  <c r="C39" i="4"/>
  <c r="O39" i="4" s="1"/>
  <c r="AF39" i="4" s="1"/>
  <c r="AF19" i="4" l="1"/>
  <c r="N53" i="4"/>
  <c r="N54" i="4" s="1"/>
  <c r="G27" i="1" l="1"/>
  <c r="H27" i="1"/>
  <c r="I27" i="1"/>
  <c r="C27" i="1"/>
  <c r="C10" i="1"/>
  <c r="C30" i="1"/>
  <c r="D30" i="1"/>
  <c r="E30" i="1"/>
  <c r="F30" i="1"/>
  <c r="I30" i="1"/>
  <c r="J30" i="1"/>
  <c r="K30" i="1"/>
  <c r="M30" i="1"/>
  <c r="L30" i="1"/>
  <c r="C13" i="1" l="1"/>
  <c r="O13" i="1" s="1"/>
  <c r="O10" i="1"/>
  <c r="O30" i="1"/>
  <c r="D27" i="1"/>
  <c r="K27" i="1"/>
  <c r="F27" i="1"/>
  <c r="N27" i="1"/>
  <c r="M27" i="1"/>
  <c r="L27" i="1"/>
  <c r="J27" i="1"/>
  <c r="O27" i="1" l="1"/>
  <c r="N37" i="1" s="1"/>
</calcChain>
</file>

<file path=xl/comments1.xml><?xml version="1.0" encoding="utf-8"?>
<comments xmlns="http://schemas.openxmlformats.org/spreadsheetml/2006/main">
  <authors>
    <author>Кодряну</author>
    <author>shadow</author>
  </authors>
  <commentList>
    <comment ref="J19" authorId="0" shapeId="0">
      <text>
        <r>
          <rPr>
            <b/>
            <sz val="8"/>
            <color indexed="81"/>
            <rFont val="Tahoma"/>
            <family val="2"/>
            <charset val="204"/>
          </rPr>
          <t>Кодряну:</t>
        </r>
        <r>
          <rPr>
            <sz val="8"/>
            <color indexed="81"/>
            <rFont val="Tahoma"/>
            <family val="2"/>
            <charset val="204"/>
          </rPr>
          <t xml:space="preserve">
Принтер</t>
        </r>
      </text>
    </comment>
    <comment ref="K25" authorId="1" shapeId="0">
      <text>
        <r>
          <rPr>
            <b/>
            <sz val="8"/>
            <color indexed="81"/>
            <rFont val="Tahoma"/>
            <family val="2"/>
            <charset val="204"/>
          </rPr>
          <t>shadow:</t>
        </r>
        <r>
          <rPr>
            <sz val="8"/>
            <color indexed="81"/>
            <rFont val="Tahoma"/>
            <family val="2"/>
            <charset val="204"/>
          </rPr>
          <t xml:space="preserve">
46 квартира Госпошлина
</t>
        </r>
      </text>
    </comment>
  </commentList>
</comments>
</file>

<file path=xl/comments2.xml><?xml version="1.0" encoding="utf-8"?>
<comments xmlns="http://schemas.openxmlformats.org/spreadsheetml/2006/main">
  <authors>
    <author>Кодряну</author>
    <author>admin</author>
    <author>shadow</author>
  </authors>
  <commentList>
    <comment ref="J26" authorId="0" shapeId="0">
      <text>
        <r>
          <rPr>
            <b/>
            <sz val="8"/>
            <color indexed="81"/>
            <rFont val="Tahoma"/>
            <family val="2"/>
            <charset val="204"/>
          </rPr>
          <t>Кодряну:</t>
        </r>
        <r>
          <rPr>
            <sz val="8"/>
            <color indexed="81"/>
            <rFont val="Tahoma"/>
            <family val="2"/>
            <charset val="204"/>
          </rPr>
          <t xml:space="preserve">
Принтер</t>
        </r>
      </text>
    </comment>
    <comment ref="Y26" authorId="0" shapeId="0">
      <text>
        <r>
          <rPr>
            <b/>
            <sz val="8"/>
            <color indexed="81"/>
            <rFont val="Tahoma"/>
            <family val="2"/>
            <charset val="204"/>
          </rPr>
          <t>Кодряну:</t>
        </r>
        <r>
          <rPr>
            <sz val="8"/>
            <color indexed="81"/>
            <rFont val="Tahoma"/>
            <family val="2"/>
            <charset val="204"/>
          </rPr>
          <t xml:space="preserve">
Принтер
</t>
        </r>
      </text>
    </comment>
    <comment ref="C27" authorId="1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материалы на 21 кв,29,32 кв</t>
        </r>
      </text>
    </comment>
    <comment ref="E27" authorId="1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материалы на ремонт ливневки на чердаке</t>
        </r>
      </text>
    </comment>
    <comment ref="F27" authorId="1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известь на побелку бордюр</t>
        </r>
      </text>
    </comment>
    <comment ref="G27" authorId="1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эмаль на покраску малых форм</t>
        </r>
      </text>
    </comment>
    <comment ref="I27" authorId="0" shapeId="0">
      <text>
        <r>
          <rPr>
            <b/>
            <sz val="8"/>
            <color indexed="81"/>
            <rFont val="Tahoma"/>
            <family val="2"/>
            <charset val="204"/>
          </rPr>
          <t>Кодряну:</t>
        </r>
        <r>
          <rPr>
            <sz val="8"/>
            <color indexed="81"/>
            <rFont val="Tahoma"/>
            <family val="2"/>
            <charset val="204"/>
          </rPr>
          <t xml:space="preserve">
на ремонт козырьков+светильники
</t>
        </r>
      </text>
    </comment>
    <comment ref="J27" authorId="0" shapeId="0">
      <text>
        <r>
          <rPr>
            <b/>
            <sz val="8"/>
            <color indexed="81"/>
            <rFont val="Tahoma"/>
            <family val="2"/>
            <charset val="204"/>
          </rPr>
          <t>Кодряну:</t>
        </r>
        <r>
          <rPr>
            <sz val="8"/>
            <color indexed="81"/>
            <rFont val="Tahoma"/>
            <family val="2"/>
            <charset val="204"/>
          </rPr>
          <t xml:space="preserve">
рем. подъездов</t>
        </r>
      </text>
    </comment>
    <comment ref="T27" authorId="1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балкон
замок 
</t>
        </r>
      </text>
    </comment>
    <comment ref="U27" authorId="1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краска. Материалы на ремонт подъездов
</t>
        </r>
      </text>
    </comment>
    <comment ref="V27" authorId="1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иатериалы на ремонт подъездов
</t>
        </r>
      </text>
    </comment>
    <comment ref="Y27" authorId="0" shapeId="0">
      <text>
        <r>
          <rPr>
            <b/>
            <sz val="8"/>
            <color indexed="81"/>
            <rFont val="Tahoma"/>
            <family val="2"/>
            <charset val="204"/>
          </rPr>
          <t>Кодряну:</t>
        </r>
        <r>
          <rPr>
            <sz val="8"/>
            <color indexed="81"/>
            <rFont val="Tahoma"/>
            <family val="2"/>
            <charset val="204"/>
          </rPr>
          <t xml:space="preserve">
На ремонт подъездов</t>
        </r>
      </text>
    </comment>
    <comment ref="AA27" authorId="0" shapeId="0">
      <text>
        <r>
          <rPr>
            <b/>
            <sz val="8"/>
            <color indexed="81"/>
            <rFont val="Tahoma"/>
            <family val="2"/>
            <charset val="204"/>
          </rPr>
          <t>Кодряну:</t>
        </r>
        <r>
          <rPr>
            <sz val="8"/>
            <color indexed="81"/>
            <rFont val="Tahoma"/>
            <family val="2"/>
            <charset val="204"/>
          </rPr>
          <t xml:space="preserve">
28 кв
</t>
        </r>
      </text>
    </comment>
    <comment ref="AB27" authorId="0" shapeId="0">
      <text>
        <r>
          <rPr>
            <b/>
            <sz val="8"/>
            <color indexed="81"/>
            <rFont val="Tahoma"/>
            <family val="2"/>
            <charset val="204"/>
          </rPr>
          <t>Кодряну:</t>
        </r>
        <r>
          <rPr>
            <sz val="8"/>
            <color indexed="81"/>
            <rFont val="Tahoma"/>
            <family val="2"/>
            <charset val="204"/>
          </rPr>
          <t xml:space="preserve">
утепление подвала
</t>
        </r>
      </text>
    </comment>
    <comment ref="W28" authorId="1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затраты трактора на укладку дерна
</t>
        </r>
      </text>
    </comment>
    <comment ref="E34" authorId="1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очистка канализации, уборка снега в чердачном помещении и ремонт ливневки 
</t>
        </r>
      </text>
    </comment>
    <comment ref="F34" authorId="1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очистка канализации
</t>
        </r>
      </text>
    </comment>
    <comment ref="H34" authorId="1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вывоз мусора с каморки №3+электрика,ТКС
ремонт стояков
</t>
        </r>
      </text>
    </comment>
    <comment ref="I34" authorId="0" shapeId="0">
      <text>
        <r>
          <rPr>
            <b/>
            <sz val="8"/>
            <color indexed="81"/>
            <rFont val="Tahoma"/>
            <family val="2"/>
            <charset val="204"/>
          </rPr>
          <t>Кодряну:</t>
        </r>
        <r>
          <rPr>
            <sz val="8"/>
            <color indexed="81"/>
            <rFont val="Tahoma"/>
            <family val="2"/>
            <charset val="204"/>
          </rPr>
          <t xml:space="preserve">
канализация в подвале 1 подъезд
</t>
        </r>
      </text>
    </comment>
    <comment ref="J34" authorId="0" shapeId="0">
      <text>
        <r>
          <rPr>
            <b/>
            <sz val="8"/>
            <color indexed="81"/>
            <rFont val="Tahoma"/>
            <family val="2"/>
            <charset val="204"/>
          </rPr>
          <t>Кодряну:</t>
        </r>
        <r>
          <rPr>
            <sz val="8"/>
            <color indexed="81"/>
            <rFont val="Tahoma"/>
            <family val="2"/>
            <charset val="204"/>
          </rPr>
          <t xml:space="preserve">
ремонт подъездов без материалов
40000- установка дверей с домофоном+2000ремонт козырька+5500 стояки подвал 11,15 кв+окраска малых форм
</t>
        </r>
      </text>
    </comment>
    <comment ref="L34" authorId="0" shapeId="0">
      <text>
        <r>
          <rPr>
            <b/>
            <sz val="8"/>
            <color indexed="81"/>
            <rFont val="Tahoma"/>
            <family val="2"/>
            <charset val="204"/>
          </rPr>
          <t>Кодряну:</t>
        </r>
        <r>
          <rPr>
            <sz val="8"/>
            <color indexed="81"/>
            <rFont val="Tahoma"/>
            <family val="2"/>
            <charset val="204"/>
          </rPr>
          <t xml:space="preserve">
очистка подвала</t>
        </r>
      </text>
    </comment>
    <comment ref="S34" authorId="1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ремонт электрооборудования</t>
        </r>
      </text>
    </comment>
    <comment ref="T34" authorId="1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ремонт балкона
</t>
        </r>
      </text>
    </comment>
    <comment ref="V34" authorId="1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ремонт подъездов</t>
        </r>
      </text>
    </comment>
    <comment ref="W34" authorId="1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укладка дерна+прочистка насосов+ ремонт кровли
</t>
        </r>
      </text>
    </comment>
    <comment ref="X34" authorId="0" shapeId="0">
      <text>
        <r>
          <rPr>
            <b/>
            <sz val="8"/>
            <color indexed="81"/>
            <rFont val="Tahoma"/>
            <family val="2"/>
            <charset val="204"/>
          </rPr>
          <t>Кодряну:</t>
        </r>
        <r>
          <rPr>
            <sz val="8"/>
            <color indexed="81"/>
            <rFont val="Tahoma"/>
            <family val="2"/>
            <charset val="204"/>
          </rPr>
          <t xml:space="preserve">
укладка дерна
</t>
        </r>
      </text>
    </comment>
    <comment ref="K37" authorId="2" shapeId="0">
      <text>
        <r>
          <rPr>
            <b/>
            <sz val="8"/>
            <color indexed="81"/>
            <rFont val="Tahoma"/>
            <family val="2"/>
            <charset val="204"/>
          </rPr>
          <t>shadow:</t>
        </r>
        <r>
          <rPr>
            <sz val="8"/>
            <color indexed="81"/>
            <rFont val="Tahoma"/>
            <family val="2"/>
            <charset val="204"/>
          </rPr>
          <t xml:space="preserve">
46 квартира Госпошлина
</t>
        </r>
      </text>
    </comment>
  </commentList>
</comments>
</file>

<file path=xl/sharedStrings.xml><?xml version="1.0" encoding="utf-8"?>
<sst xmlns="http://schemas.openxmlformats.org/spreadsheetml/2006/main" count="251" uniqueCount="120">
  <si>
    <t>Адрес</t>
  </si>
  <si>
    <t>Площадь</t>
  </si>
  <si>
    <t>Тариф 100%</t>
  </si>
  <si>
    <t>Санитарное обслуживание</t>
  </si>
  <si>
    <t>Текущии  ремонт</t>
  </si>
  <si>
    <t>Плата за управление</t>
  </si>
  <si>
    <t>ВСЕГО</t>
  </si>
  <si>
    <t>Тек. Ремонт ООО "Жилсервис"</t>
  </si>
  <si>
    <t>№ Акта</t>
  </si>
  <si>
    <t>Стоимость по акту,руб.</t>
  </si>
  <si>
    <t>Остаток</t>
  </si>
  <si>
    <t>По решению суда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</si>
  <si>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</si>
  <si>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</si>
  <si>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</si>
  <si>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</si>
  <si>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</si>
  <si>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</si>
  <si>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</si>
  <si>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</si>
  <si>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</si>
  <si>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</si>
  <si>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</si>
  <si>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</si>
  <si>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</si>
  <si>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Начисления по капитальному ремонту</t>
  </si>
  <si>
    <t>Списано по кап. рем.</t>
  </si>
  <si>
    <t>На данный момент остаток</t>
  </si>
  <si>
    <t>Начисления по социальному найму</t>
  </si>
  <si>
    <t>Списано по соц найму</t>
  </si>
  <si>
    <t>Всего на счете</t>
  </si>
  <si>
    <t>оплачено</t>
  </si>
  <si>
    <t>задолженность (-),
 переплата (+)</t>
  </si>
  <si>
    <t>Нежилые помещения</t>
  </si>
  <si>
    <t>Начислено</t>
  </si>
  <si>
    <t>начислено</t>
  </si>
  <si>
    <t>Оплачено</t>
  </si>
  <si>
    <t xml:space="preserve">РАСХОДЫ ПО МКД </t>
  </si>
  <si>
    <t>ИТОГО РАСХОДОВ</t>
  </si>
  <si>
    <t>Остаток на Л/СЧ МКД</t>
  </si>
  <si>
    <t>ул.  Дзержинского 21</t>
  </si>
  <si>
    <t>Вознаграждение за работу</t>
  </si>
  <si>
    <r>
      <rPr>
        <b/>
        <sz val="16"/>
        <rFont val="Times New Roman"/>
        <family val="1"/>
        <charset val="204"/>
      </rPr>
      <t>Налоги</t>
    </r>
    <r>
      <rPr>
        <sz val="12"/>
        <rFont val="Times New Roman"/>
        <family val="1"/>
        <charset val="204"/>
      </rPr>
      <t>(УСНО, НДФЛ,ПФР,ФСС)</t>
    </r>
  </si>
  <si>
    <t>Услуги банка</t>
  </si>
  <si>
    <t>Услуги дворников</t>
  </si>
  <si>
    <t>Инвентарь,канцелярия</t>
  </si>
  <si>
    <t>Очистка придомовой территории трактором</t>
  </si>
  <si>
    <t>Очистка кровли</t>
  </si>
  <si>
    <t>Урны</t>
  </si>
  <si>
    <t>Услуги по начислению платежей (квартплата)</t>
  </si>
  <si>
    <t>Оформление документов ТСЖ</t>
  </si>
  <si>
    <t>Материалы</t>
  </si>
  <si>
    <t>Текущий ремонт 2012 год</t>
  </si>
  <si>
    <t>НАЧИСЛЕНИЕ 2012 год</t>
  </si>
  <si>
    <t>прочистка канализации</t>
  </si>
  <si>
    <t>апрель</t>
  </si>
  <si>
    <t>вывоз мусора</t>
  </si>
  <si>
    <t>июнь</t>
  </si>
  <si>
    <t>очистка канализации,уборка снега в чердачном помещении,
  ремонт ливневки</t>
  </si>
  <si>
    <t>март</t>
  </si>
  <si>
    <t>Командировочные</t>
  </si>
  <si>
    <t>Остаток денежных средств 2012 год</t>
  </si>
  <si>
    <t xml:space="preserve">Остаток денежных средств 2012, 2011 год </t>
  </si>
  <si>
    <t>Диспетчерская</t>
  </si>
  <si>
    <t>Ремонт электрики в 3п</t>
  </si>
  <si>
    <t>Канализация в подвале 1 п</t>
  </si>
  <si>
    <t>июль</t>
  </si>
  <si>
    <t>Ремонт подъездов, без материалов</t>
  </si>
  <si>
    <t>август</t>
  </si>
  <si>
    <t>Установка дверей с домофоном(60000 за счет ар. Подв)</t>
  </si>
  <si>
    <t>Ремонт козырьков</t>
  </si>
  <si>
    <t>Канализация в подвале под 11,15 кв</t>
  </si>
  <si>
    <t>сентябрь</t>
  </si>
  <si>
    <t>Очистка подвала</t>
  </si>
  <si>
    <t>Материалы на ремонт подъезда</t>
  </si>
  <si>
    <t>Материалы на ремонт козырька и электрики замена ТКС</t>
  </si>
  <si>
    <t>Окраска малых форм</t>
  </si>
  <si>
    <t>май</t>
  </si>
  <si>
    <t>ул.  Дзержинского 33</t>
  </si>
  <si>
    <t xml:space="preserve"> </t>
  </si>
  <si>
    <t>Остаток денежных средств</t>
  </si>
  <si>
    <t>текущий ремонт 2012</t>
  </si>
  <si>
    <t>Кап. Ремонт</t>
  </si>
  <si>
    <t>Ремонт электрооборудования</t>
  </si>
  <si>
    <t>февраль</t>
  </si>
  <si>
    <t>Ремонт подъездов</t>
  </si>
  <si>
    <t>Укладка дерна, ремонт кровли, прочистка фильтров насоса</t>
  </si>
  <si>
    <t>Ремонт балкона</t>
  </si>
  <si>
    <t>Укладка дерна</t>
  </si>
  <si>
    <t>НАЧИСЛЕНИЕ 2014 год</t>
  </si>
  <si>
    <t>2. Техническое обслуживание ( 2 руб. с  м2)</t>
  </si>
  <si>
    <t>3. Услуги по начислению и сбору  платежей( 4,4%)</t>
  </si>
  <si>
    <t>4. Санитарное содержание мест общего пользования 
( 2 руб. с м2)</t>
  </si>
  <si>
    <t>5. Механизированная уборка придомовой 
территории(1800 руб/час.,)</t>
  </si>
  <si>
    <t>7. АВР( 1,22 с м2 - диспетчерская)</t>
  </si>
  <si>
    <t>9. Инвентарь</t>
  </si>
  <si>
    <t>10 Текущий ремонт</t>
  </si>
  <si>
    <t>Текущий ремонт 2014 год</t>
  </si>
  <si>
    <t>Остаток денежных средств 2014 год</t>
  </si>
  <si>
    <t>Наименование</t>
  </si>
  <si>
    <t>Месяц</t>
  </si>
  <si>
    <t>Стоимость 
работы</t>
  </si>
  <si>
    <t>Стоимость 
материалов</t>
  </si>
  <si>
    <t>Сумма</t>
  </si>
  <si>
    <t>ИТОГО</t>
  </si>
  <si>
    <t>Директор ООО "Комфорт"                                                        И.А. Кодряну</t>
  </si>
  <si>
    <t>ул. Юбилейная 11</t>
  </si>
  <si>
    <t>1. Услуга по управлению ( 1 руб. м2)</t>
  </si>
  <si>
    <t>6. Очистка кровли от снега и наледи</t>
  </si>
  <si>
    <t>Перепаяна прицепка бытовой воды (гор) 1 под.</t>
  </si>
  <si>
    <t>Устранена утечка по металлопласту d 25 по быт.хол. оде 2 под.</t>
  </si>
  <si>
    <t>Устранена утечка по металлопласту d 20 по быт. Гор. воде 3 под.</t>
  </si>
  <si>
    <t>Перепаян стояк по отоплению 5 под.</t>
  </si>
  <si>
    <t>Замена сгона d 25 6 под.</t>
  </si>
  <si>
    <t xml:space="preserve">Перепаян стояк бытовой гор. воды </t>
  </si>
  <si>
    <t>Остекление</t>
  </si>
  <si>
    <t>Изготовление и установка информациинных досок</t>
  </si>
  <si>
    <r>
      <t xml:space="preserve">8. Материалы </t>
    </r>
    <r>
      <rPr>
        <sz val="14"/>
        <rFont val="Times New Roman"/>
        <family val="1"/>
        <charset val="204"/>
      </rPr>
      <t>(изготовление информационных досок)</t>
    </r>
  </si>
  <si>
    <t>Освещение в подвале</t>
  </si>
  <si>
    <t>Демонтаж металлических площадок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</si>
</sst>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F_-;\-* #,##0\ _F_-;_-* &quot;-&quot;\ _F_-;_-@_-"/>
    <numFmt numFmtId="165" formatCode="_-* #,##0.00\ _F_-;\-* #,##0.00\ _F_-;_-* &quot;-&quot;??\ _F_-;_-@_-"/>
  </numFmts>
  <fonts count="4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Helvetica-Narrow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8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" fillId="0" borderId="0">
      <alignment horizontal="center" vertical="center"/>
    </xf>
    <xf numFmtId="0" fontId="4" fillId="0" borderId="0">
      <alignment horizontal="left" vertical="top"/>
    </xf>
    <xf numFmtId="0" fontId="3" fillId="0" borderId="0">
      <alignment horizontal="right" vertical="center"/>
    </xf>
    <xf numFmtId="0" fontId="3" fillId="4" borderId="0">
      <alignment horizontal="right" vertical="center"/>
    </xf>
    <xf numFmtId="0" fontId="4" fillId="0" borderId="0">
      <alignment horizontal="right" vertical="top"/>
    </xf>
    <xf numFmtId="0" fontId="3" fillId="5" borderId="0">
      <alignment horizontal="right" vertical="center"/>
    </xf>
    <xf numFmtId="0" fontId="3" fillId="2" borderId="0">
      <alignment horizontal="right" vertical="center"/>
    </xf>
    <xf numFmtId="0" fontId="3" fillId="2" borderId="0">
      <alignment horizontal="left" vertical="center"/>
    </xf>
    <xf numFmtId="0" fontId="5" fillId="0" borderId="0">
      <alignment horizontal="right" vertical="center"/>
    </xf>
    <xf numFmtId="0" fontId="3" fillId="3" borderId="0">
      <alignment horizontal="center" vertical="center"/>
    </xf>
    <xf numFmtId="0" fontId="3" fillId="6" borderId="0">
      <alignment horizontal="right" vertical="center"/>
    </xf>
    <xf numFmtId="0" fontId="3" fillId="5" borderId="0">
      <alignment horizontal="left" vertical="center"/>
    </xf>
    <xf numFmtId="0" fontId="3" fillId="0" borderId="0">
      <alignment horizontal="center" vertical="center"/>
    </xf>
    <xf numFmtId="0" fontId="3" fillId="0" borderId="0">
      <alignment horizontal="left" vertical="center"/>
    </xf>
    <xf numFmtId="0" fontId="3" fillId="4" borderId="0">
      <alignment horizontal="left" vertical="center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3" fillId="3" borderId="0">
      <alignment horizontal="center" vertical="center"/>
    </xf>
    <xf numFmtId="0" fontId="3" fillId="6" borderId="0">
      <alignment horizontal="right" vertical="center"/>
    </xf>
    <xf numFmtId="0" fontId="3" fillId="6" borderId="0">
      <alignment horizontal="right" vertical="center"/>
    </xf>
    <xf numFmtId="0" fontId="3" fillId="6" borderId="0">
      <alignment horizontal="right" vertical="center"/>
    </xf>
    <xf numFmtId="0" fontId="1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132">
    <xf numFmtId="0" fontId="0" fillId="0" borderId="0" xfId="0"/>
    <xf numFmtId="2" fontId="7" fillId="7" borderId="1" xfId="0" applyNumberFormat="1" applyFont="1" applyFill="1" applyBorder="1" applyAlignment="1" applyProtection="1"/>
    <xf numFmtId="2" fontId="8" fillId="7" borderId="1" xfId="0" applyNumberFormat="1" applyFont="1" applyFill="1" applyBorder="1" applyAlignment="1" applyProtection="1"/>
    <xf numFmtId="0" fontId="8" fillId="7" borderId="1" xfId="22" applyNumberFormat="1" applyFont="1" applyFill="1" applyBorder="1" applyAlignment="1" applyProtection="1">
      <alignment horizontal="left" vertical="center"/>
    </xf>
    <xf numFmtId="0" fontId="7" fillId="7" borderId="1" xfId="22" applyNumberFormat="1" applyFont="1" applyFill="1" applyBorder="1" applyAlignment="1" applyProtection="1">
      <alignment horizontal="left" vertical="center" wrapText="1"/>
    </xf>
    <xf numFmtId="0" fontId="8" fillId="7" borderId="1" xfId="22" applyNumberFormat="1" applyFont="1" applyFill="1" applyBorder="1" applyAlignment="1" applyProtection="1">
      <alignment vertical="center" wrapText="1"/>
    </xf>
    <xf numFmtId="0" fontId="7" fillId="7" borderId="1" xfId="22" applyNumberFormat="1" applyFont="1" applyFill="1" applyBorder="1" applyAlignment="1" applyProtection="1">
      <alignment vertical="center" wrapText="1"/>
    </xf>
    <xf numFmtId="0" fontId="7" fillId="7" borderId="1" xfId="22" applyNumberFormat="1" applyFont="1" applyFill="1" applyBorder="1" applyAlignment="1" applyProtection="1">
      <alignment horizontal="center" vertical="center"/>
    </xf>
    <xf numFmtId="0" fontId="7" fillId="7" borderId="1" xfId="22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/>
    <xf numFmtId="0" fontId="11" fillId="0" borderId="1" xfId="0" applyFont="1" applyBorder="1"/>
    <xf numFmtId="0" fontId="9" fillId="0" borderId="1" xfId="0" applyFont="1" applyBorder="1"/>
    <xf numFmtId="2" fontId="12" fillId="7" borderId="1" xfId="0" applyNumberFormat="1" applyFont="1" applyFill="1" applyBorder="1" applyAlignment="1" applyProtection="1"/>
    <xf numFmtId="0" fontId="13" fillId="0" borderId="1" xfId="0" applyFont="1" applyBorder="1"/>
    <xf numFmtId="4" fontId="14" fillId="0" borderId="0" xfId="3" applyNumberFormat="1" applyFont="1" applyBorder="1" applyAlignment="1">
      <alignment horizontal="right" vertical="center" wrapText="1"/>
    </xf>
    <xf numFmtId="0" fontId="12" fillId="7" borderId="5" xfId="22" applyNumberFormat="1" applyFont="1" applyFill="1" applyBorder="1" applyAlignment="1" applyProtection="1">
      <alignment vertical="center" wrapText="1"/>
    </xf>
    <xf numFmtId="0" fontId="12" fillId="7" borderId="6" xfId="22" applyNumberFormat="1" applyFont="1" applyFill="1" applyBorder="1" applyAlignment="1" applyProtection="1">
      <alignment vertical="center" wrapText="1"/>
    </xf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0" fontId="19" fillId="0" borderId="1" xfId="0" applyFont="1" applyBorder="1"/>
    <xf numFmtId="0" fontId="21" fillId="0" borderId="1" xfId="0" applyFont="1" applyBorder="1"/>
    <xf numFmtId="0" fontId="22" fillId="0" borderId="1" xfId="0" applyFont="1" applyBorder="1"/>
    <xf numFmtId="2" fontId="26" fillId="0" borderId="1" xfId="0" applyNumberFormat="1" applyFont="1" applyBorder="1"/>
    <xf numFmtId="0" fontId="12" fillId="7" borderId="5" xfId="22" applyNumberFormat="1" applyFont="1" applyFill="1" applyBorder="1" applyAlignment="1" applyProtection="1">
      <alignment horizontal="left" vertical="center" wrapText="1"/>
    </xf>
    <xf numFmtId="0" fontId="12" fillId="7" borderId="6" xfId="22" applyNumberFormat="1" applyFont="1" applyFill="1" applyBorder="1" applyAlignment="1" applyProtection="1">
      <alignment horizontal="left" vertical="center" wrapText="1"/>
    </xf>
    <xf numFmtId="2" fontId="27" fillId="0" borderId="1" xfId="0" applyNumberFormat="1" applyFont="1" applyBorder="1"/>
    <xf numFmtId="0" fontId="20" fillId="0" borderId="0" xfId="0" applyFont="1" applyAlignment="1">
      <alignment horizontal="center"/>
    </xf>
    <xf numFmtId="0" fontId="12" fillId="7" borderId="5" xfId="22" applyNumberFormat="1" applyFont="1" applyFill="1" applyBorder="1" applyAlignment="1" applyProtection="1">
      <alignment horizontal="left" vertical="center" wrapText="1"/>
    </xf>
    <xf numFmtId="0" fontId="12" fillId="7" borderId="6" xfId="22" applyNumberFormat="1" applyFont="1" applyFill="1" applyBorder="1" applyAlignment="1" applyProtection="1">
      <alignment horizontal="left" vertical="center" wrapText="1"/>
    </xf>
    <xf numFmtId="0" fontId="12" fillId="7" borderId="5" xfId="22" applyNumberFormat="1" applyFont="1" applyFill="1" applyBorder="1" applyAlignment="1" applyProtection="1">
      <alignment horizontal="left" vertical="center"/>
    </xf>
    <xf numFmtId="0" fontId="7" fillId="7" borderId="6" xfId="22" applyNumberFormat="1" applyFont="1" applyFill="1" applyBorder="1" applyAlignment="1" applyProtection="1">
      <alignment horizontal="left" vertical="center"/>
    </xf>
    <xf numFmtId="0" fontId="7" fillId="7" borderId="1" xfId="22" applyNumberFormat="1" applyFont="1" applyFill="1" applyBorder="1" applyAlignment="1" applyProtection="1">
      <alignment horizontal="left" vertical="center" wrapText="1"/>
    </xf>
    <xf numFmtId="0" fontId="7" fillId="7" borderId="1" xfId="22" applyNumberFormat="1" applyFont="1" applyFill="1" applyBorder="1" applyAlignment="1" applyProtection="1">
      <alignment horizontal="center" vertical="center"/>
    </xf>
    <xf numFmtId="0" fontId="7" fillId="7" borderId="1" xfId="22" applyNumberFormat="1" applyFont="1" applyFill="1" applyBorder="1" applyAlignment="1" applyProtection="1">
      <alignment horizontal="left" vertical="center" wrapText="1"/>
    </xf>
    <xf numFmtId="0" fontId="7" fillId="7" borderId="1" xfId="22" applyNumberFormat="1" applyFont="1" applyFill="1" applyBorder="1" applyAlignment="1" applyProtection="1">
      <alignment horizontal="center" vertical="center"/>
    </xf>
    <xf numFmtId="0" fontId="7" fillId="7" borderId="6" xfId="22" applyNumberFormat="1" applyFont="1" applyFill="1" applyBorder="1" applyAlignment="1" applyProtection="1">
      <alignment horizontal="left" vertical="center"/>
    </xf>
    <xf numFmtId="0" fontId="12" fillId="7" borderId="5" xfId="22" applyNumberFormat="1" applyFont="1" applyFill="1" applyBorder="1" applyAlignment="1" applyProtection="1">
      <alignment horizontal="left" vertical="center" wrapText="1"/>
    </xf>
    <xf numFmtId="0" fontId="12" fillId="7" borderId="6" xfId="22" applyNumberFormat="1" applyFont="1" applyFill="1" applyBorder="1" applyAlignment="1" applyProtection="1">
      <alignment horizontal="left" vertical="center" wrapText="1"/>
    </xf>
    <xf numFmtId="0" fontId="12" fillId="7" borderId="5" xfId="22" applyNumberFormat="1" applyFont="1" applyFill="1" applyBorder="1" applyAlignment="1" applyProtection="1">
      <alignment horizontal="left" vertical="center"/>
    </xf>
    <xf numFmtId="0" fontId="9" fillId="0" borderId="1" xfId="0" applyFont="1" applyBorder="1" applyAlignment="1">
      <alignment horizontal="left"/>
    </xf>
    <xf numFmtId="4" fontId="11" fillId="0" borderId="0" xfId="3" applyNumberFormat="1" applyFont="1" applyBorder="1" applyAlignment="1">
      <alignment horizontal="right" vertical="center" wrapText="1"/>
    </xf>
    <xf numFmtId="2" fontId="22" fillId="0" borderId="1" xfId="0" applyNumberFormat="1" applyFont="1" applyBorder="1"/>
    <xf numFmtId="0" fontId="29" fillId="0" borderId="1" xfId="0" applyFont="1" applyBorder="1"/>
    <xf numFmtId="0" fontId="30" fillId="0" borderId="1" xfId="0" applyFont="1" applyBorder="1" applyAlignment="1">
      <alignment horizontal="left"/>
    </xf>
    <xf numFmtId="0" fontId="31" fillId="0" borderId="0" xfId="0" applyFont="1"/>
    <xf numFmtId="0" fontId="32" fillId="0" borderId="0" xfId="0" applyFont="1"/>
    <xf numFmtId="0" fontId="30" fillId="0" borderId="1" xfId="0" applyFont="1" applyBorder="1"/>
    <xf numFmtId="0" fontId="30" fillId="0" borderId="0" xfId="0" applyFont="1"/>
    <xf numFmtId="0" fontId="30" fillId="0" borderId="0" xfId="0" applyFont="1" applyAlignment="1">
      <alignment horizontal="center"/>
    </xf>
    <xf numFmtId="0" fontId="33" fillId="0" borderId="0" xfId="0" applyFont="1"/>
    <xf numFmtId="2" fontId="33" fillId="0" borderId="0" xfId="0" applyNumberFormat="1" applyFont="1"/>
    <xf numFmtId="0" fontId="0" fillId="9" borderId="0" xfId="0" applyFill="1"/>
    <xf numFmtId="2" fontId="12" fillId="10" borderId="1" xfId="0" applyNumberFormat="1" applyFont="1" applyFill="1" applyBorder="1" applyAlignment="1" applyProtection="1"/>
    <xf numFmtId="2" fontId="16" fillId="7" borderId="1" xfId="0" applyNumberFormat="1" applyFont="1" applyFill="1" applyBorder="1" applyAlignment="1" applyProtection="1"/>
    <xf numFmtId="2" fontId="12" fillId="11" borderId="1" xfId="0" applyNumberFormat="1" applyFont="1" applyFill="1" applyBorder="1" applyAlignment="1" applyProtection="1"/>
    <xf numFmtId="2" fontId="34" fillId="7" borderId="1" xfId="0" applyNumberFormat="1" applyFont="1" applyFill="1" applyBorder="1" applyAlignment="1" applyProtection="1"/>
    <xf numFmtId="0" fontId="31" fillId="11" borderId="0" xfId="0" applyFont="1" applyFill="1"/>
    <xf numFmtId="2" fontId="36" fillId="7" borderId="1" xfId="0" applyNumberFormat="1" applyFont="1" applyFill="1" applyBorder="1" applyAlignment="1" applyProtection="1"/>
    <xf numFmtId="0" fontId="26" fillId="0" borderId="0" xfId="0" applyFont="1"/>
    <xf numFmtId="2" fontId="15" fillId="7" borderId="1" xfId="0" applyNumberFormat="1" applyFont="1" applyFill="1" applyBorder="1" applyAlignment="1" applyProtection="1"/>
    <xf numFmtId="0" fontId="37" fillId="0" borderId="1" xfId="0" applyFont="1" applyBorder="1"/>
    <xf numFmtId="0" fontId="38" fillId="0" borderId="1" xfId="0" applyFont="1" applyBorder="1"/>
    <xf numFmtId="0" fontId="2" fillId="9" borderId="1" xfId="0" applyFont="1" applyFill="1" applyBorder="1"/>
    <xf numFmtId="0" fontId="26" fillId="9" borderId="0" xfId="0" applyFont="1" applyFill="1"/>
    <xf numFmtId="0" fontId="31" fillId="10" borderId="0" xfId="0" applyFont="1" applyFill="1"/>
    <xf numFmtId="2" fontId="12" fillId="8" borderId="1" xfId="0" applyNumberFormat="1" applyFont="1" applyFill="1" applyBorder="1" applyAlignment="1" applyProtection="1"/>
    <xf numFmtId="0" fontId="12" fillId="10" borderId="1" xfId="22" applyNumberFormat="1" applyFont="1" applyFill="1" applyBorder="1" applyAlignment="1" applyProtection="1">
      <alignment horizontal="center" vertical="center" wrapText="1"/>
    </xf>
    <xf numFmtId="0" fontId="21" fillId="0" borderId="5" xfId="0" applyFont="1" applyBorder="1"/>
    <xf numFmtId="0" fontId="0" fillId="0" borderId="1" xfId="0" applyBorder="1"/>
    <xf numFmtId="0" fontId="26" fillId="0" borderId="1" xfId="0" applyFont="1" applyBorder="1"/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19" fillId="0" borderId="5" xfId="0" applyFont="1" applyBorder="1"/>
    <xf numFmtId="0" fontId="27" fillId="0" borderId="1" xfId="0" applyFont="1" applyBorder="1"/>
    <xf numFmtId="2" fontId="40" fillId="0" borderId="1" xfId="0" applyNumberFormat="1" applyFont="1" applyBorder="1"/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" xfId="0" applyFont="1" applyBorder="1" applyAlignment="1"/>
    <xf numFmtId="0" fontId="9" fillId="9" borderId="1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19" fillId="0" borderId="1" xfId="0" applyFont="1" applyBorder="1" applyAlignment="1">
      <alignment wrapText="1"/>
    </xf>
    <xf numFmtId="0" fontId="39" fillId="0" borderId="1" xfId="0" applyFont="1" applyBorder="1" applyAlignment="1">
      <alignment horizontal="right"/>
    </xf>
    <xf numFmtId="0" fontId="19" fillId="0" borderId="5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6" fillId="7" borderId="2" xfId="22" applyNumberFormat="1" applyFont="1" applyFill="1" applyBorder="1" applyAlignment="1" applyProtection="1">
      <alignment horizontal="center" vertical="center"/>
    </xf>
    <xf numFmtId="0" fontId="16" fillId="7" borderId="3" xfId="22" applyNumberFormat="1" applyFont="1" applyFill="1" applyBorder="1" applyAlignment="1" applyProtection="1">
      <alignment horizontal="center" vertical="center"/>
    </xf>
    <xf numFmtId="0" fontId="16" fillId="7" borderId="4" xfId="22" applyNumberFormat="1" applyFont="1" applyFill="1" applyBorder="1" applyAlignment="1" applyProtection="1">
      <alignment horizontal="center" vertical="center"/>
    </xf>
    <xf numFmtId="0" fontId="15" fillId="7" borderId="2" xfId="22" applyNumberFormat="1" applyFont="1" applyFill="1" applyBorder="1" applyAlignment="1" applyProtection="1">
      <alignment horizontal="center" vertical="center" wrapText="1"/>
    </xf>
    <xf numFmtId="0" fontId="15" fillId="7" borderId="3" xfId="22" applyNumberFormat="1" applyFont="1" applyFill="1" applyBorder="1" applyAlignment="1" applyProtection="1">
      <alignment horizontal="center" vertical="center" wrapText="1"/>
    </xf>
    <xf numFmtId="0" fontId="15" fillId="7" borderId="4" xfId="22" applyNumberFormat="1" applyFont="1" applyFill="1" applyBorder="1" applyAlignment="1" applyProtection="1">
      <alignment horizontal="center" vertical="center" wrapText="1"/>
    </xf>
    <xf numFmtId="0" fontId="15" fillId="7" borderId="1" xfId="22" applyNumberFormat="1" applyFont="1" applyFill="1" applyBorder="1" applyAlignment="1" applyProtection="1">
      <alignment horizontal="left" vertical="center" wrapText="1"/>
    </xf>
    <xf numFmtId="0" fontId="15" fillId="7" borderId="1" xfId="22" applyNumberFormat="1" applyFont="1" applyFill="1" applyBorder="1" applyAlignment="1" applyProtection="1">
      <alignment horizontal="left" vertical="center"/>
    </xf>
    <xf numFmtId="0" fontId="7" fillId="7" borderId="1" xfId="22" applyNumberFormat="1" applyFont="1" applyFill="1" applyBorder="1" applyAlignment="1" applyProtection="1">
      <alignment horizontal="left" vertical="center"/>
    </xf>
    <xf numFmtId="0" fontId="35" fillId="7" borderId="1" xfId="22" applyNumberFormat="1" applyFont="1" applyFill="1" applyBorder="1" applyAlignment="1" applyProtection="1">
      <alignment horizontal="center" vertical="center"/>
    </xf>
    <xf numFmtId="0" fontId="15" fillId="7" borderId="5" xfId="22" applyNumberFormat="1" applyFont="1" applyFill="1" applyBorder="1" applyAlignment="1" applyProtection="1">
      <alignment horizontal="left" vertical="center"/>
    </xf>
    <xf numFmtId="0" fontId="15" fillId="7" borderId="6" xfId="22" applyNumberFormat="1" applyFont="1" applyFill="1" applyBorder="1" applyAlignment="1" applyProtection="1">
      <alignment horizontal="left" vertical="center"/>
    </xf>
    <xf numFmtId="0" fontId="12" fillId="7" borderId="5" xfId="22" applyNumberFormat="1" applyFont="1" applyFill="1" applyBorder="1" applyAlignment="1" applyProtection="1">
      <alignment horizontal="left" vertical="center" wrapText="1"/>
    </xf>
    <xf numFmtId="0" fontId="12" fillId="7" borderId="6" xfId="22" applyNumberFormat="1" applyFont="1" applyFill="1" applyBorder="1" applyAlignment="1" applyProtection="1">
      <alignment horizontal="left" vertical="center" wrapText="1"/>
    </xf>
    <xf numFmtId="0" fontId="15" fillId="7" borderId="5" xfId="22" applyNumberFormat="1" applyFont="1" applyFill="1" applyBorder="1" applyAlignment="1" applyProtection="1">
      <alignment vertical="center" wrapText="1"/>
    </xf>
    <xf numFmtId="0" fontId="15" fillId="7" borderId="6" xfId="22" applyNumberFormat="1" applyFont="1" applyFill="1" applyBorder="1" applyAlignment="1" applyProtection="1">
      <alignment vertical="center" wrapText="1"/>
    </xf>
    <xf numFmtId="2" fontId="7" fillId="7" borderId="1" xfId="0" applyNumberFormat="1" applyFont="1" applyFill="1" applyBorder="1" applyAlignment="1" applyProtection="1">
      <alignment horizontal="center" vertical="center" wrapText="1"/>
    </xf>
    <xf numFmtId="0" fontId="7" fillId="7" borderId="1" xfId="0" applyNumberFormat="1" applyFont="1" applyFill="1" applyBorder="1" applyAlignment="1" applyProtection="1">
      <alignment horizontal="center" vertical="top"/>
    </xf>
    <xf numFmtId="0" fontId="7" fillId="7" borderId="1" xfId="22" applyNumberFormat="1" applyFont="1" applyFill="1" applyBorder="1" applyAlignment="1" applyProtection="1">
      <alignment horizontal="left" vertical="center" wrapText="1"/>
    </xf>
    <xf numFmtId="0" fontId="7" fillId="7" borderId="1" xfId="22" applyNumberFormat="1" applyFont="1" applyFill="1" applyBorder="1" applyAlignment="1" applyProtection="1">
      <alignment horizontal="center" vertical="center"/>
    </xf>
    <xf numFmtId="0" fontId="12" fillId="11" borderId="5" xfId="22" applyNumberFormat="1" applyFont="1" applyFill="1" applyBorder="1" applyAlignment="1" applyProtection="1">
      <alignment horizontal="left" vertical="center"/>
    </xf>
    <xf numFmtId="0" fontId="12" fillId="11" borderId="6" xfId="22" applyNumberFormat="1" applyFont="1" applyFill="1" applyBorder="1" applyAlignment="1" applyProtection="1">
      <alignment horizontal="left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2" fillId="8" borderId="1" xfId="22" applyNumberFormat="1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12" fillId="7" borderId="1" xfId="22" applyNumberFormat="1" applyFont="1" applyFill="1" applyBorder="1" applyAlignment="1" applyProtection="1">
      <alignment horizontal="left" vertical="center"/>
    </xf>
    <xf numFmtId="0" fontId="7" fillId="7" borderId="5" xfId="22" applyNumberFormat="1" applyFont="1" applyFill="1" applyBorder="1" applyAlignment="1" applyProtection="1">
      <alignment horizontal="left" vertical="center"/>
    </xf>
    <xf numFmtId="0" fontId="7" fillId="7" borderId="6" xfId="22" applyNumberFormat="1" applyFont="1" applyFill="1" applyBorder="1" applyAlignment="1" applyProtection="1">
      <alignment horizontal="left" vertical="center"/>
    </xf>
    <xf numFmtId="0" fontId="12" fillId="7" borderId="5" xfId="22" applyNumberFormat="1" applyFont="1" applyFill="1" applyBorder="1" applyAlignment="1" applyProtection="1">
      <alignment horizontal="left" vertical="center"/>
    </xf>
    <xf numFmtId="0" fontId="12" fillId="7" borderId="6" xfId="22" applyNumberFormat="1" applyFont="1" applyFill="1" applyBorder="1" applyAlignment="1" applyProtection="1">
      <alignment horizontal="left" vertical="center"/>
    </xf>
    <xf numFmtId="0" fontId="22" fillId="0" borderId="1" xfId="0" applyFont="1" applyBorder="1" applyAlignment="1"/>
    <xf numFmtId="0" fontId="28" fillId="0" borderId="8" xfId="0" applyFont="1" applyBorder="1" applyAlignment="1">
      <alignment horizontal="center"/>
    </xf>
    <xf numFmtId="0" fontId="29" fillId="0" borderId="5" xfId="0" applyFont="1" applyBorder="1" applyAlignment="1"/>
    <xf numFmtId="0" fontId="29" fillId="0" borderId="9" xfId="0" applyFont="1" applyBorder="1" applyAlignment="1"/>
    <xf numFmtId="0" fontId="29" fillId="0" borderId="6" xfId="0" applyFont="1" applyBorder="1" applyAlignment="1"/>
    <xf numFmtId="0" fontId="30" fillId="0" borderId="5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30" fillId="0" borderId="1" xfId="0" applyFont="1" applyBorder="1" applyAlignment="1">
      <alignment horizontal="left"/>
    </xf>
    <xf numFmtId="0" fontId="30" fillId="0" borderId="5" xfId="0" applyFont="1" applyBorder="1" applyAlignment="1">
      <alignment horizontal="left"/>
    </xf>
    <xf numFmtId="0" fontId="30" fillId="0" borderId="9" xfId="0" applyFont="1" applyBorder="1" applyAlignment="1">
      <alignment horizontal="left"/>
    </xf>
    <xf numFmtId="0" fontId="30" fillId="0" borderId="6" xfId="0" applyFont="1" applyBorder="1" applyAlignment="1">
      <alignment horizontal="left"/>
    </xf>
  </cellXfs>
  <cellStyles count="25">
    <cellStyle name="S0" xfId="1"/>
    <cellStyle name="S1" xfId="2"/>
    <cellStyle name="S11" xfId="3"/>
    <cellStyle name="S12" xfId="4"/>
    <cellStyle name="S13" xfId="5"/>
    <cellStyle name="S14" xfId="6"/>
    <cellStyle name="S15" xfId="7"/>
    <cellStyle name="S16" xfId="8"/>
    <cellStyle name="S17" xfId="9"/>
    <cellStyle name="S18" xfId="10"/>
    <cellStyle name="S19" xfId="11"/>
    <cellStyle name="S2" xfId="12"/>
    <cellStyle name="S20" xfId="13"/>
    <cellStyle name="S21" xfId="14"/>
    <cellStyle name="S3" xfId="15"/>
    <cellStyle name="S4" xfId="16"/>
    <cellStyle name="S5" xfId="17"/>
    <cellStyle name="S6" xfId="18"/>
    <cellStyle name="S7" xfId="19"/>
    <cellStyle name="S8" xfId="20"/>
    <cellStyle name="S9" xfId="21"/>
    <cellStyle name="Обычный" xfId="0" builtinId="0"/>
    <cellStyle name="Обычный 2" xfId="22"/>
    <cellStyle name="Тысячи [0]_Example " xfId="23"/>
    <cellStyle name="Тысячи_Example 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0"/>
  <sheetViews>
    <sheetView tabSelected="1" view="pageBreakPreview" zoomScale="80" zoomScaleNormal="100" zoomScaleSheetLayoutView="80" workbookViewId="0">
      <selection activeCell="A42" sqref="A42:B42"/>
    </sheetView>
  </sheetViews>
  <sheetFormatPr defaultRowHeight="15"/>
  <cols>
    <col min="1" max="1" width="36.28515625" customWidth="1"/>
    <col min="2" max="2" width="40.7109375" customWidth="1"/>
    <col min="3" max="3" width="16.85546875" customWidth="1"/>
    <col min="4" max="4" width="15.28515625" customWidth="1"/>
    <col min="5" max="5" width="14.85546875" customWidth="1"/>
    <col min="6" max="6" width="13.5703125" customWidth="1"/>
    <col min="7" max="7" width="13.42578125" customWidth="1"/>
    <col min="8" max="8" width="12.7109375" customWidth="1"/>
    <col min="9" max="9" width="13.7109375" customWidth="1"/>
    <col min="10" max="10" width="13" customWidth="1"/>
    <col min="11" max="11" width="13.42578125" customWidth="1"/>
    <col min="12" max="12" width="14.140625" customWidth="1"/>
    <col min="13" max="13" width="13.140625" customWidth="1"/>
    <col min="14" max="14" width="15.5703125" customWidth="1"/>
    <col min="15" max="15" width="15.28515625" customWidth="1"/>
  </cols>
  <sheetData>
    <row r="1" spans="1:16" ht="15.75">
      <c r="A1" s="107" t="s">
        <v>89</v>
      </c>
      <c r="B1" s="107"/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18</v>
      </c>
      <c r="J1" s="1" t="s">
        <v>19</v>
      </c>
      <c r="K1" s="1" t="s">
        <v>20</v>
      </c>
      <c r="L1" s="1" t="s">
        <v>21</v>
      </c>
      <c r="M1" s="1" t="s">
        <v>22</v>
      </c>
      <c r="N1" s="1" t="s">
        <v>23</v>
      </c>
      <c r="O1" s="104" t="s">
        <v>24</v>
      </c>
    </row>
    <row r="2" spans="1:16" ht="15.75">
      <c r="A2" s="106" t="s">
        <v>0</v>
      </c>
      <c r="B2" s="106"/>
      <c r="C2" s="105" t="s">
        <v>106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4"/>
    </row>
    <row r="3" spans="1:16" ht="19.5" customHeight="1">
      <c r="A3" s="106" t="s">
        <v>1</v>
      </c>
      <c r="B3" s="106"/>
      <c r="C3" s="58">
        <v>4220.3</v>
      </c>
      <c r="D3" s="58">
        <v>4220.3</v>
      </c>
      <c r="E3" s="58">
        <v>4220.3</v>
      </c>
      <c r="F3" s="58">
        <v>4220.3</v>
      </c>
      <c r="G3" s="58">
        <v>4220.3</v>
      </c>
      <c r="H3" s="58">
        <v>4220.3</v>
      </c>
      <c r="I3" s="58">
        <v>4220.3</v>
      </c>
      <c r="J3" s="58">
        <v>4220.3</v>
      </c>
      <c r="K3" s="58">
        <v>4220.3</v>
      </c>
      <c r="L3" s="58">
        <v>4220.3</v>
      </c>
      <c r="M3" s="58">
        <v>4220.3</v>
      </c>
      <c r="N3" s="58">
        <v>4220.3</v>
      </c>
      <c r="O3" s="54"/>
      <c r="P3" s="59"/>
    </row>
    <row r="4" spans="1:16" ht="19.5">
      <c r="A4" s="106" t="s">
        <v>2</v>
      </c>
      <c r="B4" s="106"/>
      <c r="C4" s="58">
        <v>10.57</v>
      </c>
      <c r="D4" s="58">
        <v>10.57</v>
      </c>
      <c r="E4" s="58">
        <v>10.57</v>
      </c>
      <c r="F4" s="58">
        <v>10.57</v>
      </c>
      <c r="G4" s="58">
        <v>10.57</v>
      </c>
      <c r="H4" s="58">
        <v>10.57</v>
      </c>
      <c r="I4" s="58">
        <v>10.57</v>
      </c>
      <c r="J4" s="58">
        <v>10.57</v>
      </c>
      <c r="K4" s="58">
        <v>10.57</v>
      </c>
      <c r="L4" s="58">
        <v>10.57</v>
      </c>
      <c r="M4" s="58">
        <v>10.57</v>
      </c>
      <c r="N4" s="58">
        <v>10.57</v>
      </c>
      <c r="O4" s="54"/>
      <c r="P4" s="59"/>
    </row>
    <row r="5" spans="1:16" ht="18.75">
      <c r="A5" s="91" t="s">
        <v>3</v>
      </c>
      <c r="B5" s="3" t="s">
        <v>35</v>
      </c>
      <c r="C5" s="54"/>
      <c r="D5" s="54"/>
      <c r="E5" s="54">
        <v>88237.42</v>
      </c>
      <c r="F5" s="54"/>
      <c r="G5" s="54"/>
      <c r="H5" s="54"/>
      <c r="I5" s="54"/>
      <c r="J5" s="54"/>
      <c r="K5" s="54"/>
      <c r="L5" s="54"/>
      <c r="M5" s="54"/>
      <c r="N5" s="54"/>
      <c r="O5" s="54">
        <f>SUM(C5:N5)</f>
        <v>88237.42</v>
      </c>
      <c r="P5" s="59"/>
    </row>
    <row r="6" spans="1:16" ht="18.75">
      <c r="A6" s="92"/>
      <c r="B6" s="3" t="s">
        <v>31</v>
      </c>
      <c r="C6" s="54"/>
      <c r="D6" s="54"/>
      <c r="E6" s="54">
        <v>8193.2000000000007</v>
      </c>
      <c r="F6" s="54"/>
      <c r="G6" s="54"/>
      <c r="H6" s="54"/>
      <c r="I6" s="54"/>
      <c r="J6" s="54"/>
      <c r="K6" s="54"/>
      <c r="L6" s="54"/>
      <c r="M6" s="54"/>
      <c r="N6" s="54"/>
      <c r="O6" s="54">
        <f t="shared" ref="O6:O30" si="0">SUM(C6:N6)</f>
        <v>8193.2000000000007</v>
      </c>
      <c r="P6" s="59"/>
    </row>
    <row r="7" spans="1:16" ht="45" customHeight="1">
      <c r="A7" s="93"/>
      <c r="B7" s="4" t="s">
        <v>32</v>
      </c>
      <c r="C7" s="60">
        <f>C5-C6</f>
        <v>0</v>
      </c>
      <c r="D7" s="60">
        <f t="shared" ref="D7:N7" si="1">D5-D6</f>
        <v>0</v>
      </c>
      <c r="E7" s="60">
        <f t="shared" si="1"/>
        <v>80044.22</v>
      </c>
      <c r="F7" s="60">
        <f t="shared" si="1"/>
        <v>0</v>
      </c>
      <c r="G7" s="60">
        <f t="shared" si="1"/>
        <v>0</v>
      </c>
      <c r="H7" s="60">
        <f t="shared" si="1"/>
        <v>0</v>
      </c>
      <c r="I7" s="60">
        <f t="shared" si="1"/>
        <v>0</v>
      </c>
      <c r="J7" s="60">
        <f t="shared" si="1"/>
        <v>0</v>
      </c>
      <c r="K7" s="60">
        <f t="shared" si="1"/>
        <v>0</v>
      </c>
      <c r="L7" s="60">
        <f t="shared" si="1"/>
        <v>0</v>
      </c>
      <c r="M7" s="60">
        <f t="shared" si="1"/>
        <v>0</v>
      </c>
      <c r="N7" s="60">
        <f t="shared" si="1"/>
        <v>0</v>
      </c>
      <c r="O7" s="54">
        <f t="shared" si="0"/>
        <v>80044.22</v>
      </c>
      <c r="P7" s="59"/>
    </row>
    <row r="8" spans="1:16" ht="18.75">
      <c r="A8" s="91" t="s">
        <v>33</v>
      </c>
      <c r="B8" s="5" t="s">
        <v>35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>
        <f t="shared" si="0"/>
        <v>0</v>
      </c>
      <c r="P8" s="59"/>
    </row>
    <row r="9" spans="1:16" ht="18.75">
      <c r="A9" s="92"/>
      <c r="B9" s="5" t="s">
        <v>31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>
        <f t="shared" si="0"/>
        <v>0</v>
      </c>
      <c r="P9" s="59"/>
    </row>
    <row r="10" spans="1:16" ht="31.5">
      <c r="A10" s="93"/>
      <c r="B10" s="6" t="s">
        <v>32</v>
      </c>
      <c r="C10" s="60">
        <f>C9-C8</f>
        <v>0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54">
        <f t="shared" si="0"/>
        <v>0</v>
      </c>
      <c r="P10" s="59"/>
    </row>
    <row r="11" spans="1:16" ht="22.5" customHeight="1">
      <c r="A11" s="88" t="s">
        <v>6</v>
      </c>
      <c r="B11" s="7" t="s">
        <v>34</v>
      </c>
      <c r="C11" s="60">
        <f>C5+C8</f>
        <v>0</v>
      </c>
      <c r="D11" s="60">
        <f t="shared" ref="D11:N11" si="2">D5+D8</f>
        <v>0</v>
      </c>
      <c r="E11" s="60">
        <f t="shared" si="2"/>
        <v>88237.42</v>
      </c>
      <c r="F11" s="60">
        <f t="shared" si="2"/>
        <v>0</v>
      </c>
      <c r="G11" s="60">
        <f t="shared" si="2"/>
        <v>0</v>
      </c>
      <c r="H11" s="60">
        <f t="shared" si="2"/>
        <v>0</v>
      </c>
      <c r="I11" s="60">
        <f t="shared" si="2"/>
        <v>0</v>
      </c>
      <c r="J11" s="60">
        <f t="shared" si="2"/>
        <v>0</v>
      </c>
      <c r="K11" s="60">
        <f t="shared" si="2"/>
        <v>0</v>
      </c>
      <c r="L11" s="60">
        <f t="shared" si="2"/>
        <v>0</v>
      </c>
      <c r="M11" s="60">
        <f t="shared" si="2"/>
        <v>0</v>
      </c>
      <c r="N11" s="60">
        <f t="shared" si="2"/>
        <v>0</v>
      </c>
      <c r="O11" s="54">
        <f t="shared" si="0"/>
        <v>88237.42</v>
      </c>
      <c r="P11" s="59"/>
    </row>
    <row r="12" spans="1:16" ht="22.5" customHeight="1">
      <c r="A12" s="89"/>
      <c r="B12" s="7" t="s">
        <v>36</v>
      </c>
      <c r="C12" s="60">
        <f>C6+C9</f>
        <v>0</v>
      </c>
      <c r="D12" s="60">
        <f t="shared" ref="D12:N12" si="3">D6+D9</f>
        <v>0</v>
      </c>
      <c r="E12" s="60">
        <f t="shared" si="3"/>
        <v>8193.2000000000007</v>
      </c>
      <c r="F12" s="60">
        <f t="shared" si="3"/>
        <v>0</v>
      </c>
      <c r="G12" s="60">
        <f t="shared" si="3"/>
        <v>0</v>
      </c>
      <c r="H12" s="60">
        <f t="shared" si="3"/>
        <v>0</v>
      </c>
      <c r="I12" s="60">
        <f t="shared" si="3"/>
        <v>0</v>
      </c>
      <c r="J12" s="60">
        <f t="shared" si="3"/>
        <v>0</v>
      </c>
      <c r="K12" s="60">
        <f t="shared" si="3"/>
        <v>0</v>
      </c>
      <c r="L12" s="60">
        <f t="shared" si="3"/>
        <v>0</v>
      </c>
      <c r="M12" s="60">
        <f t="shared" si="3"/>
        <v>0</v>
      </c>
      <c r="N12" s="60">
        <f t="shared" si="3"/>
        <v>0</v>
      </c>
      <c r="O12" s="54">
        <f t="shared" si="0"/>
        <v>8193.2000000000007</v>
      </c>
      <c r="P12" s="59"/>
    </row>
    <row r="13" spans="1:16" s="65" customFormat="1" ht="36.75" customHeight="1">
      <c r="A13" s="90"/>
      <c r="B13" s="67" t="s">
        <v>32</v>
      </c>
      <c r="C13" s="53">
        <f>C7+C10</f>
        <v>0</v>
      </c>
      <c r="D13" s="53">
        <f t="shared" ref="D13:N13" si="4">D7+D10</f>
        <v>0</v>
      </c>
      <c r="E13" s="53">
        <f t="shared" si="4"/>
        <v>80044.22</v>
      </c>
      <c r="F13" s="53">
        <f t="shared" si="4"/>
        <v>0</v>
      </c>
      <c r="G13" s="53">
        <f t="shared" si="4"/>
        <v>0</v>
      </c>
      <c r="H13" s="53">
        <f t="shared" si="4"/>
        <v>0</v>
      </c>
      <c r="I13" s="53">
        <f t="shared" si="4"/>
        <v>0</v>
      </c>
      <c r="J13" s="53">
        <f t="shared" si="4"/>
        <v>0</v>
      </c>
      <c r="K13" s="53">
        <f t="shared" si="4"/>
        <v>0</v>
      </c>
      <c r="L13" s="53">
        <f t="shared" si="4"/>
        <v>0</v>
      </c>
      <c r="M13" s="53">
        <f t="shared" si="4"/>
        <v>0</v>
      </c>
      <c r="N13" s="53">
        <f t="shared" si="4"/>
        <v>0</v>
      </c>
      <c r="O13" s="56">
        <f t="shared" si="0"/>
        <v>80044.22</v>
      </c>
    </row>
    <row r="14" spans="1:16" ht="18.75">
      <c r="A14" s="97" t="s">
        <v>37</v>
      </c>
      <c r="B14" s="97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>
        <f t="shared" si="0"/>
        <v>0</v>
      </c>
      <c r="P14" s="59"/>
    </row>
    <row r="15" spans="1:16" ht="21.75" customHeight="1">
      <c r="A15" s="95" t="s">
        <v>107</v>
      </c>
      <c r="B15" s="95"/>
      <c r="C15" s="54"/>
      <c r="D15" s="54">
        <f>D3*1</f>
        <v>4220.3</v>
      </c>
      <c r="E15" s="58">
        <f>E3*1</f>
        <v>4220.3</v>
      </c>
      <c r="F15" s="58"/>
      <c r="G15" s="58"/>
      <c r="H15" s="58"/>
      <c r="I15" s="58"/>
      <c r="J15" s="58"/>
      <c r="K15" s="58"/>
      <c r="L15" s="58"/>
      <c r="M15" s="58"/>
      <c r="N15" s="58"/>
      <c r="O15" s="54">
        <f t="shared" si="0"/>
        <v>8440.6</v>
      </c>
      <c r="P15" s="59"/>
    </row>
    <row r="16" spans="1:16" ht="21.75" customHeight="1">
      <c r="A16" s="98" t="s">
        <v>90</v>
      </c>
      <c r="B16" s="99"/>
      <c r="C16" s="54"/>
      <c r="D16" s="54">
        <f>1.8*D3</f>
        <v>7596.5400000000009</v>
      </c>
      <c r="E16" s="58">
        <f>2*E3</f>
        <v>8440.6</v>
      </c>
      <c r="F16" s="58"/>
      <c r="G16" s="58"/>
      <c r="H16" s="58"/>
      <c r="I16" s="58"/>
      <c r="J16" s="58"/>
      <c r="K16" s="58"/>
      <c r="L16" s="58"/>
      <c r="M16" s="58"/>
      <c r="N16" s="58"/>
      <c r="O16" s="54">
        <f t="shared" si="0"/>
        <v>16037.140000000001</v>
      </c>
      <c r="P16" s="59"/>
    </row>
    <row r="17" spans="1:16" ht="21.75" customHeight="1">
      <c r="A17" s="98" t="s">
        <v>91</v>
      </c>
      <c r="B17" s="99"/>
      <c r="C17" s="58">
        <f t="shared" ref="C17:D17" si="5">0.02*C5+0.024*C6</f>
        <v>0</v>
      </c>
      <c r="D17" s="58">
        <f t="shared" si="5"/>
        <v>0</v>
      </c>
      <c r="E17" s="58">
        <f>0.02*E5+0.024*E6</f>
        <v>1961.3851999999999</v>
      </c>
      <c r="F17" s="58">
        <f t="shared" ref="F17:N17" si="6">0.02*F5+0.024*F6</f>
        <v>0</v>
      </c>
      <c r="G17" s="58">
        <f t="shared" si="6"/>
        <v>0</v>
      </c>
      <c r="H17" s="58">
        <f t="shared" si="6"/>
        <v>0</v>
      </c>
      <c r="I17" s="58">
        <f t="shared" si="6"/>
        <v>0</v>
      </c>
      <c r="J17" s="58">
        <f t="shared" si="6"/>
        <v>0</v>
      </c>
      <c r="K17" s="58">
        <f t="shared" si="6"/>
        <v>0</v>
      </c>
      <c r="L17" s="58">
        <f t="shared" si="6"/>
        <v>0</v>
      </c>
      <c r="M17" s="58">
        <f t="shared" si="6"/>
        <v>0</v>
      </c>
      <c r="N17" s="58">
        <f t="shared" si="6"/>
        <v>0</v>
      </c>
      <c r="O17" s="54">
        <f t="shared" si="0"/>
        <v>1961.3851999999999</v>
      </c>
      <c r="P17" s="59"/>
    </row>
    <row r="18" spans="1:16" ht="44.25" customHeight="1">
      <c r="A18" s="94" t="s">
        <v>92</v>
      </c>
      <c r="B18" s="95"/>
      <c r="C18" s="54"/>
      <c r="D18" s="54">
        <f>1.81*D3</f>
        <v>7638.7430000000004</v>
      </c>
      <c r="E18" s="58">
        <f>2*E3</f>
        <v>8440.6</v>
      </c>
      <c r="F18" s="54"/>
      <c r="G18" s="54"/>
      <c r="H18" s="54"/>
      <c r="I18" s="54"/>
      <c r="J18" s="54"/>
      <c r="K18" s="54"/>
      <c r="L18" s="54"/>
      <c r="M18" s="54"/>
      <c r="N18" s="54"/>
      <c r="O18" s="54">
        <f t="shared" si="0"/>
        <v>16079.343000000001</v>
      </c>
      <c r="P18" s="59"/>
    </row>
    <row r="19" spans="1:16" ht="45" customHeight="1">
      <c r="A19" s="94" t="s">
        <v>93</v>
      </c>
      <c r="B19" s="95"/>
      <c r="C19" s="54"/>
      <c r="D19" s="54"/>
      <c r="E19" s="58">
        <v>3600</v>
      </c>
      <c r="F19" s="54"/>
      <c r="G19" s="54"/>
      <c r="H19" s="54"/>
      <c r="I19" s="54"/>
      <c r="J19" s="54"/>
      <c r="K19" s="54"/>
      <c r="L19" s="54"/>
      <c r="M19" s="54"/>
      <c r="N19" s="54"/>
      <c r="O19" s="54">
        <f t="shared" si="0"/>
        <v>3600</v>
      </c>
      <c r="P19" s="59"/>
    </row>
    <row r="20" spans="1:16" ht="22.5" customHeight="1">
      <c r="A20" s="102" t="s">
        <v>108</v>
      </c>
      <c r="B20" s="103"/>
      <c r="C20" s="54"/>
      <c r="D20" s="54">
        <v>8000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>
        <f t="shared" si="0"/>
        <v>8000</v>
      </c>
      <c r="P20" s="59"/>
    </row>
    <row r="21" spans="1:16" ht="38.25" customHeight="1">
      <c r="A21" s="102" t="s">
        <v>94</v>
      </c>
      <c r="B21" s="103"/>
      <c r="C21" s="54"/>
      <c r="D21" s="54">
        <f>1.22*D3</f>
        <v>5148.7660000000005</v>
      </c>
      <c r="E21" s="54">
        <f t="shared" ref="E21" si="7">1.22*E3</f>
        <v>5148.7660000000005</v>
      </c>
      <c r="F21" s="54"/>
      <c r="G21" s="54"/>
      <c r="H21" s="54"/>
      <c r="I21" s="54"/>
      <c r="J21" s="54"/>
      <c r="K21" s="54"/>
      <c r="L21" s="54"/>
      <c r="M21" s="54"/>
      <c r="N21" s="54"/>
      <c r="O21" s="54">
        <f t="shared" si="0"/>
        <v>10297.532000000001</v>
      </c>
      <c r="P21" s="59"/>
    </row>
    <row r="22" spans="1:16" ht="25.5" customHeight="1">
      <c r="A22" s="100" t="s">
        <v>117</v>
      </c>
      <c r="B22" s="101"/>
      <c r="C22" s="54"/>
      <c r="D22" s="54"/>
      <c r="E22" s="54">
        <v>5784</v>
      </c>
      <c r="F22" s="54"/>
      <c r="G22" s="54"/>
      <c r="H22" s="54"/>
      <c r="I22" s="54"/>
      <c r="J22" s="54"/>
      <c r="K22" s="54"/>
      <c r="L22" s="54"/>
      <c r="M22" s="54"/>
      <c r="N22" s="54"/>
      <c r="O22" s="54">
        <f t="shared" si="0"/>
        <v>5784</v>
      </c>
      <c r="P22" s="59"/>
    </row>
    <row r="23" spans="1:16" ht="25.5" customHeight="1">
      <c r="A23" s="100" t="s">
        <v>95</v>
      </c>
      <c r="B23" s="101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>
        <f t="shared" si="0"/>
        <v>0</v>
      </c>
      <c r="P23" s="59"/>
    </row>
    <row r="24" spans="1:16" ht="25.5" customHeight="1">
      <c r="A24" s="24" t="s">
        <v>96</v>
      </c>
      <c r="B24" s="25"/>
      <c r="C24" s="54"/>
      <c r="D24" s="54">
        <v>589.86</v>
      </c>
      <c r="E24" s="54">
        <v>14190</v>
      </c>
      <c r="F24" s="54"/>
      <c r="G24" s="54"/>
      <c r="H24" s="54"/>
      <c r="I24" s="54"/>
      <c r="J24" s="54"/>
      <c r="K24" s="54"/>
      <c r="L24" s="54"/>
      <c r="M24" s="54"/>
      <c r="N24" s="54"/>
      <c r="O24" s="54">
        <f t="shared" si="0"/>
        <v>14779.86</v>
      </c>
      <c r="P24" s="59"/>
    </row>
    <row r="25" spans="1:16" ht="22.5" customHeight="1">
      <c r="A25" s="96" t="s">
        <v>11</v>
      </c>
      <c r="B25" s="96"/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f t="shared" si="0"/>
        <v>0</v>
      </c>
      <c r="P25" s="59"/>
    </row>
    <row r="26" spans="1:16" s="57" customFormat="1" ht="33" customHeight="1">
      <c r="A26" s="108" t="s">
        <v>38</v>
      </c>
      <c r="B26" s="109"/>
      <c r="C26" s="55">
        <f t="shared" ref="C26:N26" si="8">C15+C16+C17+C18+C19+C20+C21+C22+C23+C24</f>
        <v>0</v>
      </c>
      <c r="D26" s="55">
        <f t="shared" si="8"/>
        <v>33194.208999999995</v>
      </c>
      <c r="E26" s="55">
        <f t="shared" si="8"/>
        <v>51785.651200000008</v>
      </c>
      <c r="F26" s="55">
        <f t="shared" si="8"/>
        <v>0</v>
      </c>
      <c r="G26" s="55">
        <f t="shared" si="8"/>
        <v>0</v>
      </c>
      <c r="H26" s="55">
        <f t="shared" si="8"/>
        <v>0</v>
      </c>
      <c r="I26" s="55">
        <f t="shared" si="8"/>
        <v>0</v>
      </c>
      <c r="J26" s="55">
        <f t="shared" si="8"/>
        <v>0</v>
      </c>
      <c r="K26" s="55">
        <f t="shared" si="8"/>
        <v>0</v>
      </c>
      <c r="L26" s="55">
        <f t="shared" si="8"/>
        <v>0</v>
      </c>
      <c r="M26" s="55">
        <f t="shared" si="8"/>
        <v>0</v>
      </c>
      <c r="N26" s="55">
        <f t="shared" si="8"/>
        <v>0</v>
      </c>
      <c r="O26" s="56">
        <f t="shared" si="0"/>
        <v>84979.860199999996</v>
      </c>
    </row>
    <row r="27" spans="1:16" s="45" customFormat="1" ht="37.5" customHeight="1">
      <c r="A27" s="112" t="s">
        <v>39</v>
      </c>
      <c r="B27" s="112"/>
      <c r="C27" s="66">
        <f t="shared" ref="C27:N27" si="9">C12-C26</f>
        <v>0</v>
      </c>
      <c r="D27" s="66">
        <f t="shared" si="9"/>
        <v>-33194.208999999995</v>
      </c>
      <c r="E27" s="66">
        <f t="shared" si="9"/>
        <v>-43592.45120000001</v>
      </c>
      <c r="F27" s="66">
        <f t="shared" si="9"/>
        <v>0</v>
      </c>
      <c r="G27" s="66">
        <f t="shared" si="9"/>
        <v>0</v>
      </c>
      <c r="H27" s="66">
        <f t="shared" si="9"/>
        <v>0</v>
      </c>
      <c r="I27" s="66">
        <f t="shared" si="9"/>
        <v>0</v>
      </c>
      <c r="J27" s="66">
        <f t="shared" si="9"/>
        <v>0</v>
      </c>
      <c r="K27" s="66">
        <f t="shared" si="9"/>
        <v>0</v>
      </c>
      <c r="L27" s="66">
        <f t="shared" si="9"/>
        <v>0</v>
      </c>
      <c r="M27" s="66">
        <f t="shared" si="9"/>
        <v>0</v>
      </c>
      <c r="N27" s="66">
        <f t="shared" si="9"/>
        <v>0</v>
      </c>
      <c r="O27" s="56">
        <f t="shared" si="0"/>
        <v>-76786.660200000013</v>
      </c>
    </row>
    <row r="28" spans="1:16" ht="23.25" customHeight="1">
      <c r="A28" s="113" t="s">
        <v>25</v>
      </c>
      <c r="B28" s="113"/>
      <c r="C28" s="61"/>
      <c r="D28" s="61"/>
      <c r="E28" s="62"/>
      <c r="F28" s="62"/>
      <c r="G28" s="62"/>
      <c r="H28" s="62"/>
      <c r="I28" s="62"/>
      <c r="J28" s="62"/>
      <c r="K28" s="62"/>
      <c r="L28" s="61"/>
      <c r="M28" s="62"/>
      <c r="N28" s="62"/>
      <c r="O28" s="54">
        <f t="shared" si="0"/>
        <v>0</v>
      </c>
      <c r="P28" s="59"/>
    </row>
    <row r="29" spans="1:16" ht="18.75">
      <c r="A29" s="113" t="s">
        <v>26</v>
      </c>
      <c r="B29" s="113"/>
      <c r="C29" s="61"/>
      <c r="D29" s="61"/>
      <c r="E29" s="61"/>
      <c r="F29" s="61"/>
      <c r="G29" s="61"/>
      <c r="H29" s="61"/>
      <c r="I29" s="61"/>
      <c r="J29" s="62"/>
      <c r="K29" s="62"/>
      <c r="L29" s="61"/>
      <c r="M29" s="62"/>
      <c r="N29" s="62"/>
      <c r="O29" s="54">
        <f t="shared" si="0"/>
        <v>0</v>
      </c>
      <c r="P29" s="59"/>
    </row>
    <row r="30" spans="1:16" s="52" customFormat="1" ht="35.25" customHeight="1">
      <c r="A30" s="81" t="s">
        <v>27</v>
      </c>
      <c r="B30" s="81"/>
      <c r="C30" s="63">
        <f t="shared" ref="C30:K30" si="10">C28-C29</f>
        <v>0</v>
      </c>
      <c r="D30" s="63">
        <f t="shared" si="10"/>
        <v>0</v>
      </c>
      <c r="E30" s="63">
        <f t="shared" si="10"/>
        <v>0</v>
      </c>
      <c r="F30" s="63">
        <f t="shared" si="10"/>
        <v>0</v>
      </c>
      <c r="G30" s="63"/>
      <c r="H30" s="63"/>
      <c r="I30" s="63">
        <f t="shared" si="10"/>
        <v>0</v>
      </c>
      <c r="J30" s="63">
        <f t="shared" si="10"/>
        <v>0</v>
      </c>
      <c r="K30" s="63">
        <f t="shared" si="10"/>
        <v>0</v>
      </c>
      <c r="L30" s="63">
        <f>L28-L29</f>
        <v>0</v>
      </c>
      <c r="M30" s="63">
        <f>M28-M29</f>
        <v>0</v>
      </c>
      <c r="N30" s="63">
        <v>4</v>
      </c>
      <c r="O30" s="54">
        <f t="shared" si="0"/>
        <v>4</v>
      </c>
      <c r="P30" s="64"/>
    </row>
    <row r="34" spans="1:14" ht="18.75">
      <c r="A34" s="114" t="s">
        <v>97</v>
      </c>
      <c r="B34" s="114"/>
      <c r="C34" s="114"/>
      <c r="D34" s="114"/>
    </row>
    <row r="35" spans="1:14" ht="56.25">
      <c r="A35" s="110" t="s">
        <v>99</v>
      </c>
      <c r="B35" s="111"/>
      <c r="C35" s="71" t="s">
        <v>100</v>
      </c>
      <c r="D35" s="72" t="s">
        <v>101</v>
      </c>
      <c r="E35" s="73" t="s">
        <v>102</v>
      </c>
      <c r="F35" s="74" t="s">
        <v>103</v>
      </c>
    </row>
    <row r="36" spans="1:14" ht="18.75">
      <c r="A36" s="80" t="s">
        <v>109</v>
      </c>
      <c r="B36" s="80"/>
      <c r="C36" s="20" t="s">
        <v>84</v>
      </c>
      <c r="D36" s="75">
        <v>67.08</v>
      </c>
      <c r="E36" s="70">
        <v>42</v>
      </c>
      <c r="F36" s="76">
        <f>D36+E36</f>
        <v>109.08</v>
      </c>
    </row>
    <row r="37" spans="1:14" ht="23.25">
      <c r="A37" s="80" t="s">
        <v>110</v>
      </c>
      <c r="B37" s="80"/>
      <c r="C37" s="20" t="s">
        <v>84</v>
      </c>
      <c r="D37" s="75">
        <v>33.54</v>
      </c>
      <c r="E37" s="70">
        <v>22</v>
      </c>
      <c r="F37" s="76">
        <f t="shared" ref="F37:F48" si="11">D37+E37</f>
        <v>55.54</v>
      </c>
      <c r="I37" s="83" t="s">
        <v>98</v>
      </c>
      <c r="J37" s="83"/>
      <c r="K37" s="83"/>
      <c r="L37" s="83"/>
      <c r="M37" s="83"/>
      <c r="N37" s="77">
        <f>O27</f>
        <v>-76786.660200000013</v>
      </c>
    </row>
    <row r="38" spans="1:14" ht="36" customHeight="1">
      <c r="A38" s="84" t="s">
        <v>111</v>
      </c>
      <c r="B38" s="80"/>
      <c r="C38" s="20" t="s">
        <v>84</v>
      </c>
      <c r="D38" s="75">
        <v>33.54</v>
      </c>
      <c r="E38" s="70">
        <v>22</v>
      </c>
      <c r="F38" s="76">
        <f t="shared" si="11"/>
        <v>55.54</v>
      </c>
      <c r="I38" s="83"/>
      <c r="J38" s="83"/>
      <c r="K38" s="83"/>
      <c r="L38" s="83"/>
      <c r="M38" s="83"/>
      <c r="N38" s="26"/>
    </row>
    <row r="39" spans="1:14" ht="18.75">
      <c r="A39" s="80" t="s">
        <v>112</v>
      </c>
      <c r="B39" s="80"/>
      <c r="C39" s="20" t="s">
        <v>84</v>
      </c>
      <c r="D39" s="75">
        <v>67.08</v>
      </c>
      <c r="E39" s="70">
        <v>49</v>
      </c>
      <c r="F39" s="76">
        <f t="shared" si="11"/>
        <v>116.08</v>
      </c>
      <c r="I39" s="82"/>
      <c r="J39" s="82"/>
      <c r="K39" s="82"/>
      <c r="L39" s="82"/>
      <c r="M39" s="82"/>
    </row>
    <row r="40" spans="1:14" ht="18.75">
      <c r="A40" s="80" t="s">
        <v>113</v>
      </c>
      <c r="B40" s="80"/>
      <c r="C40" s="20" t="s">
        <v>84</v>
      </c>
      <c r="D40" s="75">
        <v>64.92</v>
      </c>
      <c r="E40" s="70">
        <v>38</v>
      </c>
      <c r="F40" s="76">
        <f t="shared" si="11"/>
        <v>102.92</v>
      </c>
    </row>
    <row r="41" spans="1:14" ht="23.25" customHeight="1">
      <c r="A41" s="84" t="s">
        <v>114</v>
      </c>
      <c r="B41" s="80"/>
      <c r="C41" s="20" t="s">
        <v>84</v>
      </c>
      <c r="D41" s="75">
        <v>67.08</v>
      </c>
      <c r="E41" s="70">
        <v>49</v>
      </c>
      <c r="F41" s="76">
        <f t="shared" si="11"/>
        <v>116.08</v>
      </c>
    </row>
    <row r="42" spans="1:14" ht="18.75">
      <c r="A42" s="80" t="s">
        <v>115</v>
      </c>
      <c r="B42" s="80"/>
      <c r="C42" s="20" t="s">
        <v>84</v>
      </c>
      <c r="D42" s="68"/>
      <c r="E42" s="70"/>
      <c r="F42" s="76">
        <v>34.619999999999997</v>
      </c>
    </row>
    <row r="43" spans="1:14" ht="18.75">
      <c r="A43" s="80" t="s">
        <v>116</v>
      </c>
      <c r="B43" s="80"/>
      <c r="C43" s="20" t="s">
        <v>59</v>
      </c>
      <c r="D43" s="75">
        <v>8</v>
      </c>
      <c r="E43" s="70">
        <v>723</v>
      </c>
      <c r="F43" s="76">
        <f>D43*E43</f>
        <v>5784</v>
      </c>
    </row>
    <row r="44" spans="1:14" ht="19.5" customHeight="1">
      <c r="A44" s="84" t="s">
        <v>118</v>
      </c>
      <c r="B44" s="80"/>
      <c r="C44" s="20" t="s">
        <v>59</v>
      </c>
      <c r="D44" s="75">
        <v>13890</v>
      </c>
      <c r="E44" s="70"/>
      <c r="F44" s="76">
        <f t="shared" si="11"/>
        <v>13890</v>
      </c>
    </row>
    <row r="45" spans="1:14" ht="20.25" customHeight="1">
      <c r="A45" s="84" t="s">
        <v>119</v>
      </c>
      <c r="B45" s="80"/>
      <c r="C45" s="20" t="s">
        <v>59</v>
      </c>
      <c r="D45" s="75">
        <v>300</v>
      </c>
      <c r="E45" s="70"/>
      <c r="F45" s="76">
        <f t="shared" si="11"/>
        <v>300</v>
      </c>
    </row>
    <row r="46" spans="1:14" ht="18.75">
      <c r="A46" s="80"/>
      <c r="B46" s="80"/>
      <c r="C46" s="20"/>
      <c r="D46" s="68"/>
      <c r="E46" s="70"/>
      <c r="F46" s="76">
        <f t="shared" si="11"/>
        <v>0</v>
      </c>
    </row>
    <row r="47" spans="1:14" ht="18.75">
      <c r="A47" s="80"/>
      <c r="B47" s="80"/>
      <c r="C47" s="20"/>
      <c r="D47" s="68"/>
      <c r="E47" s="70"/>
      <c r="F47" s="76">
        <f t="shared" si="11"/>
        <v>0</v>
      </c>
    </row>
    <row r="48" spans="1:14" ht="18.75">
      <c r="A48" s="86"/>
      <c r="B48" s="87"/>
      <c r="C48" s="20"/>
      <c r="D48" s="68"/>
      <c r="E48" s="70"/>
      <c r="F48" s="76">
        <f t="shared" si="11"/>
        <v>0</v>
      </c>
    </row>
    <row r="49" spans="1:15" ht="22.5">
      <c r="A49" s="85" t="s">
        <v>104</v>
      </c>
      <c r="B49" s="85"/>
      <c r="C49" s="20"/>
      <c r="D49" s="68">
        <f>SUM(D36:D48)</f>
        <v>14531.24</v>
      </c>
      <c r="E49" s="68">
        <f t="shared" ref="E49" si="12">SUM(E36:E48)</f>
        <v>945</v>
      </c>
      <c r="F49" s="68">
        <f>SUM(F36:F48)</f>
        <v>20563.86</v>
      </c>
    </row>
    <row r="50" spans="1:15" ht="18.75">
      <c r="A50" s="79"/>
      <c r="B50" s="79"/>
      <c r="C50" s="17"/>
      <c r="D50" s="17"/>
      <c r="E50" s="69"/>
      <c r="F50" s="69"/>
    </row>
    <row r="51" spans="1:15" ht="18.75">
      <c r="A51" s="79"/>
      <c r="B51" s="79"/>
      <c r="C51" s="17"/>
      <c r="D51" s="17"/>
    </row>
    <row r="52" spans="1:15" ht="18.75">
      <c r="A52" s="79" t="s">
        <v>105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</row>
    <row r="53" spans="1:15" ht="18.75">
      <c r="A53" s="79"/>
      <c r="B53" s="79"/>
      <c r="C53" s="17"/>
      <c r="D53" s="17"/>
    </row>
    <row r="54" spans="1:15" ht="18.75">
      <c r="A54" s="79"/>
      <c r="B54" s="79"/>
      <c r="C54" s="17"/>
      <c r="D54" s="17"/>
    </row>
    <row r="55" spans="1:15" ht="18.75">
      <c r="A55" s="79"/>
      <c r="B55" s="79"/>
      <c r="C55" s="17"/>
      <c r="D55" s="17"/>
    </row>
    <row r="56" spans="1:15">
      <c r="A56" s="78"/>
      <c r="B56" s="78"/>
      <c r="C56" s="18"/>
      <c r="D56" s="18"/>
    </row>
    <row r="57" spans="1:15">
      <c r="A57" s="78"/>
      <c r="B57" s="78"/>
      <c r="C57" s="18"/>
      <c r="D57" s="18"/>
    </row>
    <row r="58" spans="1:15">
      <c r="A58" s="19"/>
      <c r="B58" s="18"/>
      <c r="C58" s="18"/>
      <c r="D58" s="18"/>
    </row>
    <row r="59" spans="1:15">
      <c r="A59" s="19"/>
      <c r="B59" s="18"/>
      <c r="C59" s="18"/>
      <c r="D59" s="18"/>
    </row>
    <row r="60" spans="1:15">
      <c r="A60" s="18"/>
      <c r="B60" s="18"/>
      <c r="C60" s="18"/>
      <c r="D60" s="18"/>
    </row>
  </sheetData>
  <mergeCells count="52">
    <mergeCell ref="A26:B26"/>
    <mergeCell ref="A52:O52"/>
    <mergeCell ref="A17:B17"/>
    <mergeCell ref="A21:B21"/>
    <mergeCell ref="A35:B35"/>
    <mergeCell ref="A18:B18"/>
    <mergeCell ref="A27:B27"/>
    <mergeCell ref="A28:B28"/>
    <mergeCell ref="A29:B29"/>
    <mergeCell ref="I37:M37"/>
    <mergeCell ref="A42:B42"/>
    <mergeCell ref="A43:B43"/>
    <mergeCell ref="A44:B44"/>
    <mergeCell ref="A34:D34"/>
    <mergeCell ref="A36:B36"/>
    <mergeCell ref="A37:B37"/>
    <mergeCell ref="A5:A7"/>
    <mergeCell ref="O1:O2"/>
    <mergeCell ref="C2:N2"/>
    <mergeCell ref="A4:B4"/>
    <mergeCell ref="A1:B1"/>
    <mergeCell ref="A2:B2"/>
    <mergeCell ref="A3:B3"/>
    <mergeCell ref="A11:A13"/>
    <mergeCell ref="A8:A10"/>
    <mergeCell ref="A19:B19"/>
    <mergeCell ref="A25:B25"/>
    <mergeCell ref="A15:B15"/>
    <mergeCell ref="A14:B14"/>
    <mergeCell ref="A16:B16"/>
    <mergeCell ref="A22:B22"/>
    <mergeCell ref="A23:B23"/>
    <mergeCell ref="A20:B20"/>
    <mergeCell ref="A39:B39"/>
    <mergeCell ref="A30:B30"/>
    <mergeCell ref="I39:M39"/>
    <mergeCell ref="I38:M38"/>
    <mergeCell ref="A56:B56"/>
    <mergeCell ref="A45:B45"/>
    <mergeCell ref="A46:B46"/>
    <mergeCell ref="A47:B47"/>
    <mergeCell ref="A49:B49"/>
    <mergeCell ref="A50:B50"/>
    <mergeCell ref="A40:B40"/>
    <mergeCell ref="A41:B41"/>
    <mergeCell ref="A48:B48"/>
    <mergeCell ref="A38:B38"/>
    <mergeCell ref="A57:B57"/>
    <mergeCell ref="A51:B51"/>
    <mergeCell ref="A53:B53"/>
    <mergeCell ref="A54:B54"/>
    <mergeCell ref="A55:B5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2" manualBreakCount="2">
    <brk id="33" max="14" man="1"/>
    <brk id="53" max="14" man="1"/>
  </rowBreaks>
  <legacyDrawing r:id="rId2"/>
  <webPublishItems count="1">
    <webPublishItem id="14653" divId="Лицевой счет ул. 40 ЛЕТ ОКТЯБРЯ, д. 1_14653" sourceType="sheet" destinationFile="H:\ГЛ.Инженер\ЖИЛФОНД пгт ШЕРЕГЕШ\БД домов\40 лет октября 1\2010год\Лицевой счет ул. 40 ЛЕТ ОКТЯБРЯ, д. 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76"/>
  <sheetViews>
    <sheetView view="pageBreakPreview" zoomScale="70" zoomScaleNormal="100" zoomScaleSheetLayoutView="70" workbookViewId="0">
      <selection activeCell="A39" sqref="A39:B39"/>
    </sheetView>
  </sheetViews>
  <sheetFormatPr defaultRowHeight="15.75"/>
  <cols>
    <col min="1" max="1" width="28.7109375" customWidth="1"/>
    <col min="2" max="2" width="25.5703125" bestFit="1" customWidth="1"/>
    <col min="3" max="3" width="0.140625" customWidth="1"/>
    <col min="4" max="4" width="15.7109375" hidden="1" customWidth="1"/>
    <col min="5" max="5" width="14.28515625" hidden="1" customWidth="1"/>
    <col min="6" max="6" width="9.140625" hidden="1" customWidth="1"/>
    <col min="7" max="8" width="14.28515625" hidden="1" customWidth="1"/>
    <col min="9" max="9" width="12.7109375" hidden="1" customWidth="1"/>
    <col min="10" max="10" width="11.28515625" hidden="1" customWidth="1"/>
    <col min="11" max="11" width="12.7109375" hidden="1" customWidth="1"/>
    <col min="12" max="12" width="7.5703125" hidden="1" customWidth="1"/>
    <col min="13" max="13" width="12.7109375" hidden="1" customWidth="1"/>
    <col min="14" max="14" width="14.140625" hidden="1" customWidth="1"/>
    <col min="15" max="15" width="11.28515625" hidden="1" customWidth="1"/>
    <col min="16" max="16" width="36.28515625" customWidth="1"/>
    <col min="17" max="17" width="25.5703125" hidden="1" customWidth="1"/>
    <col min="18" max="18" width="14.140625" hidden="1" customWidth="1"/>
    <col min="19" max="24" width="14.28515625" hidden="1" customWidth="1"/>
    <col min="25" max="25" width="11.7109375" hidden="1" customWidth="1"/>
    <col min="26" max="27" width="12.7109375" hidden="1" customWidth="1"/>
    <col min="28" max="28" width="16.7109375" hidden="1" customWidth="1"/>
    <col min="29" max="29" width="14.140625" hidden="1" customWidth="1"/>
    <col min="30" max="30" width="14.5703125" customWidth="1"/>
    <col min="31" max="31" width="5.140625" customWidth="1"/>
    <col min="32" max="32" width="16.140625" style="50" customWidth="1"/>
  </cols>
  <sheetData>
    <row r="1" spans="1:32">
      <c r="A1" s="107" t="s">
        <v>53</v>
      </c>
      <c r="B1" s="107"/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18</v>
      </c>
      <c r="J1" s="1" t="s">
        <v>19</v>
      </c>
      <c r="K1" s="1" t="s">
        <v>20</v>
      </c>
      <c r="L1" s="1" t="s">
        <v>21</v>
      </c>
      <c r="M1" s="1" t="s">
        <v>22</v>
      </c>
      <c r="N1" s="1" t="s">
        <v>23</v>
      </c>
      <c r="O1" s="104" t="s">
        <v>24</v>
      </c>
      <c r="P1" s="107" t="s">
        <v>53</v>
      </c>
      <c r="Q1" s="107"/>
      <c r="R1" s="1" t="s">
        <v>12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19</v>
      </c>
      <c r="Z1" s="1" t="s">
        <v>20</v>
      </c>
      <c r="AA1" s="1" t="s">
        <v>21</v>
      </c>
      <c r="AB1" s="1" t="s">
        <v>22</v>
      </c>
      <c r="AC1" s="1" t="s">
        <v>23</v>
      </c>
      <c r="AD1" s="104" t="s">
        <v>24</v>
      </c>
    </row>
    <row r="2" spans="1:32">
      <c r="A2" s="106" t="s">
        <v>0</v>
      </c>
      <c r="B2" s="106"/>
      <c r="C2" s="105" t="s">
        <v>40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4"/>
      <c r="P2" s="106" t="s">
        <v>0</v>
      </c>
      <c r="Q2" s="106"/>
      <c r="R2" s="105" t="s">
        <v>78</v>
      </c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4"/>
    </row>
    <row r="3" spans="1:32" ht="19.5" customHeight="1">
      <c r="A3" s="106" t="s">
        <v>1</v>
      </c>
      <c r="B3" s="106"/>
      <c r="C3" s="2">
        <v>2730.7</v>
      </c>
      <c r="D3" s="2">
        <v>2730.7</v>
      </c>
      <c r="E3" s="2">
        <v>2730.7</v>
      </c>
      <c r="F3" s="2">
        <v>2730.7</v>
      </c>
      <c r="G3" s="2">
        <v>2730.7</v>
      </c>
      <c r="H3" s="2">
        <v>2730.7</v>
      </c>
      <c r="I3" s="2">
        <v>2730.7</v>
      </c>
      <c r="J3" s="2">
        <v>2730.7</v>
      </c>
      <c r="K3" s="2">
        <v>2730.7</v>
      </c>
      <c r="L3" s="2">
        <v>2730.7</v>
      </c>
      <c r="M3" s="2">
        <v>2730.7</v>
      </c>
      <c r="N3" s="2">
        <v>2730.7</v>
      </c>
      <c r="O3" s="2"/>
      <c r="P3" s="106" t="s">
        <v>1</v>
      </c>
      <c r="Q3" s="106"/>
      <c r="R3" s="2">
        <v>4043.7</v>
      </c>
      <c r="S3" s="2">
        <v>4043.7</v>
      </c>
      <c r="T3" s="2">
        <v>4043.7</v>
      </c>
      <c r="U3" s="2">
        <v>4043.7</v>
      </c>
      <c r="V3" s="2">
        <v>4043.7</v>
      </c>
      <c r="W3" s="2">
        <v>4043.7</v>
      </c>
      <c r="X3" s="2">
        <v>4043.7</v>
      </c>
      <c r="Y3" s="2">
        <v>4043.7</v>
      </c>
      <c r="Z3" s="2">
        <v>4043.7</v>
      </c>
      <c r="AA3" s="2">
        <v>4043.7</v>
      </c>
      <c r="AB3" s="2">
        <v>4043.7</v>
      </c>
      <c r="AC3" s="2">
        <v>4043.7</v>
      </c>
      <c r="AD3" s="2"/>
    </row>
    <row r="4" spans="1:32">
      <c r="A4" s="106" t="s">
        <v>2</v>
      </c>
      <c r="B4" s="106"/>
      <c r="C4" s="2">
        <v>9.5</v>
      </c>
      <c r="D4" s="2">
        <v>9.5</v>
      </c>
      <c r="E4" s="2">
        <v>9.5</v>
      </c>
      <c r="F4" s="2">
        <v>9.5</v>
      </c>
      <c r="G4" s="2">
        <v>9.5</v>
      </c>
      <c r="H4" s="2">
        <v>9.5</v>
      </c>
      <c r="I4" s="2">
        <v>9.5</v>
      </c>
      <c r="J4" s="2">
        <v>9.5</v>
      </c>
      <c r="K4" s="2">
        <v>9.5</v>
      </c>
      <c r="L4" s="2">
        <v>9.5</v>
      </c>
      <c r="M4" s="2">
        <v>9.5</v>
      </c>
      <c r="N4" s="2">
        <v>9.5</v>
      </c>
      <c r="O4" s="2"/>
      <c r="P4" s="106" t="s">
        <v>2</v>
      </c>
      <c r="Q4" s="106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2">
      <c r="A5" s="91" t="s">
        <v>3</v>
      </c>
      <c r="B5" s="3" t="s">
        <v>35</v>
      </c>
      <c r="C5" s="2">
        <v>27663.360000000001</v>
      </c>
      <c r="D5" s="2">
        <v>27663.360000000001</v>
      </c>
      <c r="E5" s="2">
        <v>27663.360000000001</v>
      </c>
      <c r="F5" s="2">
        <v>27663.360000000001</v>
      </c>
      <c r="G5" s="2">
        <v>27663.360000000001</v>
      </c>
      <c r="H5" s="2">
        <v>27663.360000000001</v>
      </c>
      <c r="I5" s="2">
        <v>27663.360000000001</v>
      </c>
      <c r="J5" s="2">
        <v>27663.360000000001</v>
      </c>
      <c r="K5" s="2">
        <v>27663.360000000001</v>
      </c>
      <c r="L5" s="2">
        <v>27663.360000000001</v>
      </c>
      <c r="M5" s="2">
        <v>27663.360000000001</v>
      </c>
      <c r="N5" s="2">
        <v>27663.360000000001</v>
      </c>
      <c r="O5" s="2">
        <f>SUM(C5:N5)</f>
        <v>331960.31999999989</v>
      </c>
      <c r="P5" s="91" t="s">
        <v>3</v>
      </c>
      <c r="Q5" s="3" t="s">
        <v>35</v>
      </c>
      <c r="R5" s="2">
        <v>42749.120000000003</v>
      </c>
      <c r="S5" s="2">
        <v>42749.120000000003</v>
      </c>
      <c r="T5" s="2">
        <v>42749.120000000003</v>
      </c>
      <c r="U5" s="2">
        <v>42749.120000000003</v>
      </c>
      <c r="V5" s="2">
        <v>42749.120000000003</v>
      </c>
      <c r="W5" s="2">
        <v>42749.120000000003</v>
      </c>
      <c r="X5" s="2">
        <v>42749.120000000003</v>
      </c>
      <c r="Y5" s="2">
        <v>42749.120000000003</v>
      </c>
      <c r="Z5" s="2">
        <v>42749.11</v>
      </c>
      <c r="AA5" s="2">
        <v>42749.11</v>
      </c>
      <c r="AB5" s="2">
        <v>42749.11</v>
      </c>
      <c r="AC5" s="2">
        <v>42749.11</v>
      </c>
      <c r="AD5" s="2">
        <f>SUM(R5:AC5)</f>
        <v>512989.39999999997</v>
      </c>
      <c r="AF5" s="51">
        <f>O5+AD5</f>
        <v>844949.71999999986</v>
      </c>
    </row>
    <row r="6" spans="1:32">
      <c r="A6" s="92"/>
      <c r="B6" s="3" t="s">
        <v>31</v>
      </c>
      <c r="C6" s="2">
        <f>911.31+11011.67+644.07</f>
        <v>12567.05</v>
      </c>
      <c r="D6" s="2">
        <f>513.22+10331.97+673.46</f>
        <v>11518.649999999998</v>
      </c>
      <c r="E6" s="2">
        <f>766.28+11885.91+659.85</f>
        <v>13312.04</v>
      </c>
      <c r="F6" s="2">
        <f>522.45+11361.49+662</f>
        <v>12545.94</v>
      </c>
      <c r="G6" s="2">
        <f>982.09+476.77+165.4</f>
        <v>1624.2600000000002</v>
      </c>
      <c r="H6" s="2">
        <f>1881.88+10950.8+649.16</f>
        <v>13481.84</v>
      </c>
      <c r="I6" s="2">
        <v>19908.46</v>
      </c>
      <c r="J6" s="2">
        <v>26988.92</v>
      </c>
      <c r="K6" s="2">
        <v>25727.7</v>
      </c>
      <c r="L6" s="2">
        <v>25464.48</v>
      </c>
      <c r="M6" s="2">
        <v>25196.87</v>
      </c>
      <c r="N6" s="2">
        <v>33350.15</v>
      </c>
      <c r="O6" s="2">
        <f t="shared" ref="O6:O46" si="0">SUM(C6:N6)</f>
        <v>221686.36</v>
      </c>
      <c r="P6" s="92"/>
      <c r="Q6" s="3" t="s">
        <v>31</v>
      </c>
      <c r="R6" s="2">
        <f>2908.16+16732.91+429.76</f>
        <v>20070.829999999998</v>
      </c>
      <c r="S6" s="2">
        <f>2890.2+17468.39+1597.02</f>
        <v>21955.61</v>
      </c>
      <c r="T6" s="2">
        <f>5081.42+19845.19+2020.82</f>
        <v>26947.43</v>
      </c>
      <c r="U6" s="2">
        <f>-9531.81+15607.4+941.56</f>
        <v>7017.15</v>
      </c>
      <c r="V6" s="2">
        <f>3606.7+21145.02</f>
        <v>24751.72</v>
      </c>
      <c r="W6" s="2">
        <f>1457.65+17114.85+780.98</f>
        <v>19353.48</v>
      </c>
      <c r="X6" s="2">
        <v>30543.81</v>
      </c>
      <c r="Y6" s="2">
        <v>48200.69</v>
      </c>
      <c r="Z6" s="2">
        <v>38711.949999999997</v>
      </c>
      <c r="AA6" s="2">
        <v>39676.25</v>
      </c>
      <c r="AB6" s="2">
        <v>40569.85</v>
      </c>
      <c r="AC6" s="2">
        <v>59183.54</v>
      </c>
      <c r="AD6" s="2">
        <f t="shared" ref="AD6:AD46" si="1">SUM(R6:AC6)</f>
        <v>376982.30999999994</v>
      </c>
      <c r="AF6" s="51">
        <f t="shared" ref="AF6:AF20" si="2">O6+AD6</f>
        <v>598668.66999999993</v>
      </c>
    </row>
    <row r="7" spans="1:32" ht="45" customHeight="1">
      <c r="A7" s="93"/>
      <c r="B7" s="32" t="s">
        <v>32</v>
      </c>
      <c r="C7" s="1">
        <f>C6-C5</f>
        <v>-15096.310000000001</v>
      </c>
      <c r="D7" s="1">
        <f t="shared" ref="D7:N7" si="3">D6-D5</f>
        <v>-16144.710000000003</v>
      </c>
      <c r="E7" s="1">
        <f t="shared" si="3"/>
        <v>-14351.32</v>
      </c>
      <c r="F7" s="1">
        <f t="shared" si="3"/>
        <v>-15117.42</v>
      </c>
      <c r="G7" s="1">
        <f t="shared" si="3"/>
        <v>-26039.1</v>
      </c>
      <c r="H7" s="1">
        <f t="shared" si="3"/>
        <v>-14181.52</v>
      </c>
      <c r="I7" s="1">
        <f t="shared" si="3"/>
        <v>-7754.9000000000015</v>
      </c>
      <c r="J7" s="1">
        <f t="shared" si="3"/>
        <v>-674.44000000000233</v>
      </c>
      <c r="K7" s="1">
        <f t="shared" si="3"/>
        <v>-1935.6599999999999</v>
      </c>
      <c r="L7" s="1">
        <f t="shared" si="3"/>
        <v>-2198.880000000001</v>
      </c>
      <c r="M7" s="1">
        <f t="shared" si="3"/>
        <v>-2466.4900000000016</v>
      </c>
      <c r="N7" s="1">
        <f t="shared" si="3"/>
        <v>5686.7900000000009</v>
      </c>
      <c r="O7" s="2">
        <f t="shared" si="0"/>
        <v>-110273.96000000002</v>
      </c>
      <c r="P7" s="93"/>
      <c r="Q7" s="34" t="s">
        <v>32</v>
      </c>
      <c r="R7" s="1">
        <f>R6-R5</f>
        <v>-22678.290000000005</v>
      </c>
      <c r="S7" s="1">
        <f t="shared" ref="S7:AC7" si="4">S6-S5</f>
        <v>-20793.510000000002</v>
      </c>
      <c r="T7" s="1">
        <f t="shared" si="4"/>
        <v>-15801.690000000002</v>
      </c>
      <c r="U7" s="1">
        <f t="shared" si="4"/>
        <v>-35731.97</v>
      </c>
      <c r="V7" s="1">
        <f t="shared" si="4"/>
        <v>-17997.400000000001</v>
      </c>
      <c r="W7" s="1">
        <f t="shared" si="4"/>
        <v>-23395.640000000003</v>
      </c>
      <c r="X7" s="1">
        <f t="shared" si="4"/>
        <v>-12205.310000000001</v>
      </c>
      <c r="Y7" s="1">
        <f t="shared" si="4"/>
        <v>5451.57</v>
      </c>
      <c r="Z7" s="1">
        <f t="shared" si="4"/>
        <v>-4037.1600000000035</v>
      </c>
      <c r="AA7" s="1">
        <f t="shared" si="4"/>
        <v>-3072.8600000000006</v>
      </c>
      <c r="AB7" s="1">
        <f t="shared" si="4"/>
        <v>-2179.260000000002</v>
      </c>
      <c r="AC7" s="1">
        <f t="shared" si="4"/>
        <v>16434.43</v>
      </c>
      <c r="AD7" s="2">
        <f t="shared" si="1"/>
        <v>-136007.09000000003</v>
      </c>
      <c r="AF7" s="51">
        <f t="shared" si="2"/>
        <v>-246281.05000000005</v>
      </c>
    </row>
    <row r="8" spans="1:32">
      <c r="A8" s="91" t="s">
        <v>4</v>
      </c>
      <c r="B8" s="3" t="s">
        <v>35</v>
      </c>
      <c r="C8" s="2">
        <v>6931.75</v>
      </c>
      <c r="D8" s="2">
        <v>6932.48</v>
      </c>
      <c r="E8" s="2">
        <v>6933.78</v>
      </c>
      <c r="F8" s="2">
        <v>6935</v>
      </c>
      <c r="G8" s="2">
        <v>6935</v>
      </c>
      <c r="H8" s="2">
        <v>6935</v>
      </c>
      <c r="I8" s="2"/>
      <c r="J8" s="2"/>
      <c r="K8" s="2"/>
      <c r="L8" s="2"/>
      <c r="M8" s="2"/>
      <c r="N8" s="2"/>
      <c r="O8" s="2">
        <f t="shared" si="0"/>
        <v>41603.009999999995</v>
      </c>
      <c r="P8" s="91" t="s">
        <v>4</v>
      </c>
      <c r="Q8" s="3" t="s">
        <v>35</v>
      </c>
      <c r="R8" s="2">
        <v>10381.790000000001</v>
      </c>
      <c r="S8" s="2">
        <v>10387.82</v>
      </c>
      <c r="T8" s="2">
        <v>10390.030000000001</v>
      </c>
      <c r="U8" s="2">
        <v>10392.34</v>
      </c>
      <c r="V8" s="2">
        <v>10372.120000000001</v>
      </c>
      <c r="W8" s="2">
        <v>10355.49</v>
      </c>
      <c r="X8" s="2"/>
      <c r="Y8" s="2"/>
      <c r="Z8" s="2"/>
      <c r="AA8" s="2"/>
      <c r="AB8" s="2"/>
      <c r="AC8" s="2"/>
      <c r="AD8" s="2">
        <f t="shared" si="1"/>
        <v>62279.59</v>
      </c>
      <c r="AF8" s="51">
        <f t="shared" si="2"/>
        <v>103882.59999999999</v>
      </c>
    </row>
    <row r="9" spans="1:32">
      <c r="A9" s="92"/>
      <c r="B9" s="3" t="s">
        <v>31</v>
      </c>
      <c r="C9" s="2">
        <f>442.07+5429.96+312.85</f>
        <v>6184.88</v>
      </c>
      <c r="D9" s="2">
        <f>248.9+5178.06+327.09</f>
        <v>5754.05</v>
      </c>
      <c r="E9" s="2">
        <f>371.91+5932.34+320.47</f>
        <v>6624.72</v>
      </c>
      <c r="F9" s="2">
        <f>253.61+5681.28+321.52</f>
        <v>6256.41</v>
      </c>
      <c r="G9" s="2">
        <f>10535.47+5154.77+1788.41</f>
        <v>17478.650000000001</v>
      </c>
      <c r="H9" s="2">
        <f>922.38+5408.42+315.27</f>
        <v>6646.07</v>
      </c>
      <c r="I9" s="2"/>
      <c r="J9" s="2"/>
      <c r="K9" s="2"/>
      <c r="L9" s="2"/>
      <c r="M9" s="2"/>
      <c r="N9" s="2"/>
      <c r="O9" s="2">
        <f t="shared" si="0"/>
        <v>48944.780000000006</v>
      </c>
      <c r="P9" s="92"/>
      <c r="Q9" s="3" t="s">
        <v>31</v>
      </c>
      <c r="R9" s="2">
        <f>1510.74+8233.86+251.15</f>
        <v>9995.75</v>
      </c>
      <c r="S9" s="2">
        <f>1464.33+8506.98+907.43</f>
        <v>10878.74</v>
      </c>
      <c r="T9" s="2">
        <f>2467.56+9454.68+1147.87</f>
        <v>13070.11</v>
      </c>
      <c r="U9" s="2">
        <f>85.02+7617.79+487.39</f>
        <v>8190.2000000000007</v>
      </c>
      <c r="V9" s="2">
        <f>1766.6+10280.59</f>
        <v>12047.19</v>
      </c>
      <c r="W9" s="2">
        <f>707.69+8327.88+393.88</f>
        <v>9429.4499999999989</v>
      </c>
      <c r="X9" s="2"/>
      <c r="Y9" s="2"/>
      <c r="Z9" s="2"/>
      <c r="AA9" s="2"/>
      <c r="AB9" s="2"/>
      <c r="AC9" s="2"/>
      <c r="AD9" s="2">
        <f t="shared" si="1"/>
        <v>63611.44</v>
      </c>
      <c r="AF9" s="51">
        <f t="shared" si="2"/>
        <v>112556.22</v>
      </c>
    </row>
    <row r="10" spans="1:32" ht="40.5" customHeight="1">
      <c r="A10" s="93"/>
      <c r="B10" s="32" t="s">
        <v>32</v>
      </c>
      <c r="C10" s="1">
        <f>C9-C8</f>
        <v>-746.86999999999989</v>
      </c>
      <c r="D10" s="1">
        <f t="shared" ref="D10:N10" si="5">D9-D8</f>
        <v>-1178.4299999999994</v>
      </c>
      <c r="E10" s="1">
        <f t="shared" si="5"/>
        <v>-309.05999999999949</v>
      </c>
      <c r="F10" s="1">
        <f t="shared" si="5"/>
        <v>-678.59000000000015</v>
      </c>
      <c r="G10" s="1">
        <f t="shared" si="5"/>
        <v>10543.650000000001</v>
      </c>
      <c r="H10" s="1">
        <f t="shared" si="5"/>
        <v>-288.93000000000029</v>
      </c>
      <c r="I10" s="1">
        <f t="shared" si="5"/>
        <v>0</v>
      </c>
      <c r="J10" s="1">
        <f t="shared" si="5"/>
        <v>0</v>
      </c>
      <c r="K10" s="1">
        <f t="shared" si="5"/>
        <v>0</v>
      </c>
      <c r="L10" s="1">
        <f t="shared" si="5"/>
        <v>0</v>
      </c>
      <c r="M10" s="1">
        <f t="shared" si="5"/>
        <v>0</v>
      </c>
      <c r="N10" s="1">
        <f t="shared" si="5"/>
        <v>0</v>
      </c>
      <c r="O10" s="2">
        <f t="shared" si="0"/>
        <v>7341.7700000000023</v>
      </c>
      <c r="P10" s="93"/>
      <c r="Q10" s="34" t="s">
        <v>32</v>
      </c>
      <c r="R10" s="1">
        <f>R9-R8</f>
        <v>-386.04000000000087</v>
      </c>
      <c r="S10" s="1">
        <f t="shared" ref="S10:AC10" si="6">S9-S8</f>
        <v>490.92000000000007</v>
      </c>
      <c r="T10" s="1">
        <f t="shared" si="6"/>
        <v>2680.08</v>
      </c>
      <c r="U10" s="1">
        <f t="shared" si="6"/>
        <v>-2202.1399999999994</v>
      </c>
      <c r="V10" s="1">
        <f t="shared" si="6"/>
        <v>1675.0699999999997</v>
      </c>
      <c r="W10" s="1">
        <f t="shared" si="6"/>
        <v>-926.04000000000087</v>
      </c>
      <c r="X10" s="1">
        <f t="shared" si="6"/>
        <v>0</v>
      </c>
      <c r="Y10" s="1">
        <f t="shared" si="6"/>
        <v>0</v>
      </c>
      <c r="Z10" s="1">
        <f t="shared" si="6"/>
        <v>0</v>
      </c>
      <c r="AA10" s="1">
        <f t="shared" si="6"/>
        <v>0</v>
      </c>
      <c r="AB10" s="1">
        <f t="shared" si="6"/>
        <v>0</v>
      </c>
      <c r="AC10" s="1">
        <f t="shared" si="6"/>
        <v>0</v>
      </c>
      <c r="AD10" s="2">
        <f t="shared" si="1"/>
        <v>1331.8499999999985</v>
      </c>
      <c r="AF10" s="51">
        <f t="shared" si="2"/>
        <v>8673.6200000000008</v>
      </c>
    </row>
    <row r="11" spans="1:32">
      <c r="A11" s="91" t="s">
        <v>5</v>
      </c>
      <c r="B11" s="3" t="s">
        <v>35</v>
      </c>
      <c r="C11" s="2">
        <v>2404.87</v>
      </c>
      <c r="D11" s="2">
        <v>2405.13</v>
      </c>
      <c r="E11" s="2">
        <v>2405.6</v>
      </c>
      <c r="F11" s="2">
        <v>2406.0300000000002</v>
      </c>
      <c r="G11" s="2">
        <v>2406.0300000000002</v>
      </c>
      <c r="H11" s="2">
        <v>2406.04</v>
      </c>
      <c r="I11" s="2"/>
      <c r="J11" s="2"/>
      <c r="K11" s="2"/>
      <c r="L11" s="2"/>
      <c r="M11" s="2"/>
      <c r="N11" s="2"/>
      <c r="O11" s="2">
        <f t="shared" si="0"/>
        <v>14433.7</v>
      </c>
      <c r="P11" s="91" t="s">
        <v>5</v>
      </c>
      <c r="Q11" s="3" t="s">
        <v>35</v>
      </c>
      <c r="R11" s="2">
        <v>3600.9</v>
      </c>
      <c r="S11" s="2">
        <v>3603.05</v>
      </c>
      <c r="T11" s="2">
        <v>3603.85</v>
      </c>
      <c r="U11" s="2">
        <v>3604.67</v>
      </c>
      <c r="V11" s="2">
        <v>3597.46</v>
      </c>
      <c r="W11" s="2">
        <v>3591.51</v>
      </c>
      <c r="X11" s="2"/>
      <c r="Y11" s="2"/>
      <c r="Z11" s="2"/>
      <c r="AA11" s="2"/>
      <c r="AB11" s="2"/>
      <c r="AC11" s="2"/>
      <c r="AD11" s="2">
        <f t="shared" si="1"/>
        <v>21601.440000000002</v>
      </c>
      <c r="AF11" s="51">
        <f t="shared" si="2"/>
        <v>36035.14</v>
      </c>
    </row>
    <row r="12" spans="1:32">
      <c r="A12" s="92"/>
      <c r="B12" s="5" t="s">
        <v>31</v>
      </c>
      <c r="C12" s="2">
        <f>153.82+1908.12+108.53</f>
        <v>2170.4700000000003</v>
      </c>
      <c r="D12" s="14">
        <f>86.58+1799.59+113.47</f>
        <v>1999.6399999999999</v>
      </c>
      <c r="E12" s="2">
        <f>129.1+2057.53+111.19</f>
        <v>2297.8200000000002</v>
      </c>
      <c r="F12" s="2">
        <f>88.03+1969.65+111.55</f>
        <v>2169.2300000000005</v>
      </c>
      <c r="G12" s="2">
        <f>1222.64+545.16+189.06</f>
        <v>1956.8600000000001</v>
      </c>
      <c r="H12" s="2">
        <f>319.41+1875.93+109.37</f>
        <v>2304.71</v>
      </c>
      <c r="I12" s="2"/>
      <c r="J12" s="2"/>
      <c r="K12" s="2"/>
      <c r="L12" s="2"/>
      <c r="M12" s="2"/>
      <c r="N12" s="2"/>
      <c r="O12" s="2">
        <f t="shared" si="0"/>
        <v>12898.73</v>
      </c>
      <c r="P12" s="92"/>
      <c r="Q12" s="5" t="s">
        <v>31</v>
      </c>
      <c r="R12" s="2">
        <f>513.69+2858.07+83.42</f>
        <v>3455.1800000000003</v>
      </c>
      <c r="S12" s="41">
        <f>501.95+2949.14+301.98</f>
        <v>3753.0699999999997</v>
      </c>
      <c r="T12" s="2">
        <f>855.87+3305.62+381.83</f>
        <v>4543.32</v>
      </c>
      <c r="U12" s="2">
        <f>-451.87+2638.35+165.92</f>
        <v>2352.4</v>
      </c>
      <c r="V12" s="2">
        <f>611.09+3564.49</f>
        <v>4175.58</v>
      </c>
      <c r="W12" s="2">
        <f>245.31+2886.85+135.05</f>
        <v>3267.21</v>
      </c>
      <c r="X12" s="2"/>
      <c r="Y12" s="2"/>
      <c r="Z12" s="2"/>
      <c r="AA12" s="2"/>
      <c r="AB12" s="2"/>
      <c r="AC12" s="2"/>
      <c r="AD12" s="2">
        <f t="shared" si="1"/>
        <v>21546.76</v>
      </c>
      <c r="AF12" s="51">
        <f t="shared" si="2"/>
        <v>34445.49</v>
      </c>
    </row>
    <row r="13" spans="1:32" ht="40.5" customHeight="1">
      <c r="A13" s="93"/>
      <c r="B13" s="6" t="s">
        <v>32</v>
      </c>
      <c r="C13" s="1">
        <f>C12-C11</f>
        <v>-234.39999999999964</v>
      </c>
      <c r="D13" s="1">
        <f t="shared" ref="D13:N13" si="7">D12-D11</f>
        <v>-405.49000000000024</v>
      </c>
      <c r="E13" s="1">
        <f t="shared" si="7"/>
        <v>-107.77999999999975</v>
      </c>
      <c r="F13" s="1">
        <f t="shared" si="7"/>
        <v>-236.79999999999973</v>
      </c>
      <c r="G13" s="1">
        <f t="shared" si="7"/>
        <v>-449.17000000000007</v>
      </c>
      <c r="H13" s="1">
        <f t="shared" si="7"/>
        <v>-101.32999999999993</v>
      </c>
      <c r="I13" s="1">
        <f t="shared" si="7"/>
        <v>0</v>
      </c>
      <c r="J13" s="1">
        <f t="shared" si="7"/>
        <v>0</v>
      </c>
      <c r="K13" s="1">
        <f t="shared" si="7"/>
        <v>0</v>
      </c>
      <c r="L13" s="1">
        <f t="shared" si="7"/>
        <v>0</v>
      </c>
      <c r="M13" s="1">
        <f t="shared" si="7"/>
        <v>0</v>
      </c>
      <c r="N13" s="1">
        <f t="shared" si="7"/>
        <v>0</v>
      </c>
      <c r="O13" s="2">
        <f t="shared" si="0"/>
        <v>-1534.9699999999993</v>
      </c>
      <c r="P13" s="93"/>
      <c r="Q13" s="6" t="s">
        <v>32</v>
      </c>
      <c r="R13" s="1">
        <f>R12-R11</f>
        <v>-145.7199999999998</v>
      </c>
      <c r="S13" s="1">
        <f t="shared" ref="S13:AC13" si="8">S12-S11</f>
        <v>150.01999999999953</v>
      </c>
      <c r="T13" s="1">
        <f t="shared" si="8"/>
        <v>939.4699999999998</v>
      </c>
      <c r="U13" s="1">
        <f t="shared" si="8"/>
        <v>-1252.27</v>
      </c>
      <c r="V13" s="1">
        <f t="shared" si="8"/>
        <v>578.11999999999989</v>
      </c>
      <c r="W13" s="1">
        <f t="shared" si="8"/>
        <v>-324.30000000000018</v>
      </c>
      <c r="X13" s="1">
        <f t="shared" si="8"/>
        <v>0</v>
      </c>
      <c r="Y13" s="1">
        <f t="shared" si="8"/>
        <v>0</v>
      </c>
      <c r="Z13" s="1">
        <f t="shared" si="8"/>
        <v>0</v>
      </c>
      <c r="AA13" s="1">
        <f t="shared" si="8"/>
        <v>0</v>
      </c>
      <c r="AB13" s="1">
        <f t="shared" si="8"/>
        <v>0</v>
      </c>
      <c r="AC13" s="1">
        <f t="shared" si="8"/>
        <v>0</v>
      </c>
      <c r="AD13" s="2">
        <f t="shared" si="1"/>
        <v>-54.680000000000746</v>
      </c>
      <c r="AF13" s="51">
        <f t="shared" si="2"/>
        <v>-1589.65</v>
      </c>
    </row>
    <row r="14" spans="1:32">
      <c r="A14" s="91" t="s">
        <v>33</v>
      </c>
      <c r="B14" s="5" t="s">
        <v>35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f t="shared" si="0"/>
        <v>0</v>
      </c>
      <c r="P14" s="91" t="s">
        <v>33</v>
      </c>
      <c r="Q14" s="5" t="s">
        <v>35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>
        <f t="shared" si="1"/>
        <v>0</v>
      </c>
      <c r="AF14" s="51">
        <f t="shared" si="2"/>
        <v>0</v>
      </c>
    </row>
    <row r="15" spans="1:32">
      <c r="A15" s="92"/>
      <c r="B15" s="5" t="s">
        <v>31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f t="shared" si="0"/>
        <v>0</v>
      </c>
      <c r="P15" s="92"/>
      <c r="Q15" s="5" t="s">
        <v>31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>
        <f t="shared" si="1"/>
        <v>0</v>
      </c>
      <c r="AF15" s="51">
        <f t="shared" si="2"/>
        <v>0</v>
      </c>
    </row>
    <row r="16" spans="1:32" ht="31.5">
      <c r="A16" s="93"/>
      <c r="B16" s="6" t="s">
        <v>32</v>
      </c>
      <c r="C16" s="1">
        <f>C15-C14</f>
        <v>0</v>
      </c>
      <c r="D16" s="1">
        <f t="shared" ref="D16:N16" si="9">D15-D14</f>
        <v>0</v>
      </c>
      <c r="E16" s="1">
        <f t="shared" si="9"/>
        <v>0</v>
      </c>
      <c r="F16" s="1">
        <f t="shared" si="9"/>
        <v>0</v>
      </c>
      <c r="G16" s="1">
        <f t="shared" si="9"/>
        <v>0</v>
      </c>
      <c r="H16" s="1">
        <f t="shared" si="9"/>
        <v>0</v>
      </c>
      <c r="I16" s="1">
        <f t="shared" si="9"/>
        <v>0</v>
      </c>
      <c r="J16" s="1">
        <f t="shared" si="9"/>
        <v>0</v>
      </c>
      <c r="K16" s="1">
        <f t="shared" si="9"/>
        <v>0</v>
      </c>
      <c r="L16" s="1">
        <f t="shared" si="9"/>
        <v>0</v>
      </c>
      <c r="M16" s="1">
        <f t="shared" si="9"/>
        <v>0</v>
      </c>
      <c r="N16" s="1">
        <f t="shared" si="9"/>
        <v>0</v>
      </c>
      <c r="O16" s="2">
        <f t="shared" si="0"/>
        <v>0</v>
      </c>
      <c r="P16" s="93"/>
      <c r="Q16" s="6" t="s">
        <v>32</v>
      </c>
      <c r="R16" s="1">
        <f>R15-R14</f>
        <v>0</v>
      </c>
      <c r="S16" s="1">
        <f t="shared" ref="S16:AC16" si="10">S15-S14</f>
        <v>0</v>
      </c>
      <c r="T16" s="1">
        <f t="shared" si="10"/>
        <v>0</v>
      </c>
      <c r="U16" s="1">
        <f t="shared" si="10"/>
        <v>0</v>
      </c>
      <c r="V16" s="1">
        <f t="shared" si="10"/>
        <v>0</v>
      </c>
      <c r="W16" s="1">
        <f t="shared" si="10"/>
        <v>0</v>
      </c>
      <c r="X16" s="1">
        <f t="shared" si="10"/>
        <v>0</v>
      </c>
      <c r="Y16" s="1">
        <f t="shared" si="10"/>
        <v>0</v>
      </c>
      <c r="Z16" s="1">
        <f t="shared" si="10"/>
        <v>0</v>
      </c>
      <c r="AA16" s="1">
        <f t="shared" si="10"/>
        <v>0</v>
      </c>
      <c r="AB16" s="1">
        <f t="shared" si="10"/>
        <v>0</v>
      </c>
      <c r="AC16" s="1">
        <f t="shared" si="10"/>
        <v>0</v>
      </c>
      <c r="AD16" s="2">
        <f t="shared" si="1"/>
        <v>0</v>
      </c>
      <c r="AF16" s="51">
        <f t="shared" si="2"/>
        <v>0</v>
      </c>
    </row>
    <row r="17" spans="1:32" ht="22.5" customHeight="1">
      <c r="A17" s="88" t="s">
        <v>6</v>
      </c>
      <c r="B17" s="33" t="s">
        <v>34</v>
      </c>
      <c r="C17" s="1">
        <f>C5+C8+C11+C14</f>
        <v>36999.980000000003</v>
      </c>
      <c r="D17" s="1">
        <f t="shared" ref="D17:N18" si="11">D5+D8+D11+D14</f>
        <v>37000.969999999994</v>
      </c>
      <c r="E17" s="1">
        <f t="shared" si="11"/>
        <v>37002.74</v>
      </c>
      <c r="F17" s="1">
        <f t="shared" si="11"/>
        <v>37004.39</v>
      </c>
      <c r="G17" s="1">
        <f t="shared" si="11"/>
        <v>37004.39</v>
      </c>
      <c r="H17" s="1">
        <f t="shared" si="11"/>
        <v>37004.400000000001</v>
      </c>
      <c r="I17" s="1">
        <f t="shared" si="11"/>
        <v>27663.360000000001</v>
      </c>
      <c r="J17" s="1">
        <f t="shared" si="11"/>
        <v>27663.360000000001</v>
      </c>
      <c r="K17" s="1">
        <f t="shared" si="11"/>
        <v>27663.360000000001</v>
      </c>
      <c r="L17" s="1">
        <f t="shared" si="11"/>
        <v>27663.360000000001</v>
      </c>
      <c r="M17" s="1">
        <f t="shared" si="11"/>
        <v>27663.360000000001</v>
      </c>
      <c r="N17" s="1">
        <f t="shared" si="11"/>
        <v>27663.360000000001</v>
      </c>
      <c r="O17" s="2">
        <f t="shared" si="0"/>
        <v>387997.02999999997</v>
      </c>
      <c r="P17" s="88" t="s">
        <v>6</v>
      </c>
      <c r="Q17" s="35" t="s">
        <v>34</v>
      </c>
      <c r="R17" s="1">
        <f>R5+R8+R11+R14</f>
        <v>56731.810000000005</v>
      </c>
      <c r="S17" s="1">
        <f t="shared" ref="S17:AC18" si="12">S5+S8+S11+S14</f>
        <v>56739.990000000005</v>
      </c>
      <c r="T17" s="1">
        <f t="shared" si="12"/>
        <v>56743</v>
      </c>
      <c r="U17" s="1">
        <f t="shared" si="12"/>
        <v>56746.130000000005</v>
      </c>
      <c r="V17" s="1">
        <f t="shared" si="12"/>
        <v>56718.700000000004</v>
      </c>
      <c r="W17" s="1">
        <f t="shared" si="12"/>
        <v>56696.12</v>
      </c>
      <c r="X17" s="1">
        <f t="shared" si="12"/>
        <v>42749.120000000003</v>
      </c>
      <c r="Y17" s="1">
        <f t="shared" si="12"/>
        <v>42749.120000000003</v>
      </c>
      <c r="Z17" s="1">
        <f t="shared" si="12"/>
        <v>42749.11</v>
      </c>
      <c r="AA17" s="1">
        <f t="shared" si="12"/>
        <v>42749.11</v>
      </c>
      <c r="AB17" s="1">
        <f t="shared" si="12"/>
        <v>42749.11</v>
      </c>
      <c r="AC17" s="1">
        <f t="shared" si="12"/>
        <v>42749.11</v>
      </c>
      <c r="AD17" s="2">
        <f t="shared" si="1"/>
        <v>596870.42999999993</v>
      </c>
      <c r="AF17" s="51">
        <f t="shared" si="2"/>
        <v>984867.46</v>
      </c>
    </row>
    <row r="18" spans="1:32" ht="22.5" customHeight="1">
      <c r="A18" s="89"/>
      <c r="B18" s="33" t="s">
        <v>36</v>
      </c>
      <c r="C18" s="1">
        <f>C6+C9+C12+C15</f>
        <v>20922.400000000001</v>
      </c>
      <c r="D18" s="1">
        <f t="shared" si="11"/>
        <v>19272.339999999997</v>
      </c>
      <c r="E18" s="1">
        <f t="shared" si="11"/>
        <v>22234.58</v>
      </c>
      <c r="F18" s="1">
        <f t="shared" si="11"/>
        <v>20971.579999999998</v>
      </c>
      <c r="G18" s="1">
        <f t="shared" si="11"/>
        <v>21059.770000000004</v>
      </c>
      <c r="H18" s="1">
        <f t="shared" si="11"/>
        <v>22432.62</v>
      </c>
      <c r="I18" s="1">
        <f t="shared" si="11"/>
        <v>19908.46</v>
      </c>
      <c r="J18" s="1">
        <f t="shared" si="11"/>
        <v>26988.92</v>
      </c>
      <c r="K18" s="1">
        <f t="shared" si="11"/>
        <v>25727.7</v>
      </c>
      <c r="L18" s="1">
        <f t="shared" si="11"/>
        <v>25464.48</v>
      </c>
      <c r="M18" s="1">
        <f t="shared" si="11"/>
        <v>25196.87</v>
      </c>
      <c r="N18" s="1">
        <f t="shared" si="11"/>
        <v>33350.15</v>
      </c>
      <c r="O18" s="2">
        <f t="shared" si="0"/>
        <v>283529.87</v>
      </c>
      <c r="P18" s="89"/>
      <c r="Q18" s="35" t="s">
        <v>36</v>
      </c>
      <c r="R18" s="1">
        <f>R6+R9+R12+R15</f>
        <v>33521.759999999995</v>
      </c>
      <c r="S18" s="1">
        <f t="shared" si="12"/>
        <v>36587.42</v>
      </c>
      <c r="T18" s="1">
        <f t="shared" si="12"/>
        <v>44560.86</v>
      </c>
      <c r="U18" s="1">
        <f t="shared" si="12"/>
        <v>17559.75</v>
      </c>
      <c r="V18" s="1">
        <f t="shared" si="12"/>
        <v>40974.490000000005</v>
      </c>
      <c r="W18" s="1">
        <f t="shared" si="12"/>
        <v>32050.14</v>
      </c>
      <c r="X18" s="1">
        <f t="shared" si="12"/>
        <v>30543.81</v>
      </c>
      <c r="Y18" s="1">
        <f t="shared" si="12"/>
        <v>48200.69</v>
      </c>
      <c r="Z18" s="1">
        <f t="shared" si="12"/>
        <v>38711.949999999997</v>
      </c>
      <c r="AA18" s="1">
        <f t="shared" si="12"/>
        <v>39676.25</v>
      </c>
      <c r="AB18" s="1">
        <f t="shared" si="12"/>
        <v>40569.85</v>
      </c>
      <c r="AC18" s="1">
        <f t="shared" si="12"/>
        <v>59183.54</v>
      </c>
      <c r="AD18" s="2">
        <f t="shared" si="1"/>
        <v>462140.50999999995</v>
      </c>
      <c r="AF18" s="51">
        <f t="shared" si="2"/>
        <v>745670.37999999989</v>
      </c>
    </row>
    <row r="19" spans="1:32" ht="36.75" customHeight="1">
      <c r="A19" s="90"/>
      <c r="B19" s="8" t="s">
        <v>32</v>
      </c>
      <c r="C19" s="12">
        <f>C18-C17</f>
        <v>-16077.580000000002</v>
      </c>
      <c r="D19" s="12">
        <f t="shared" ref="D19:N19" si="13">D18-D17</f>
        <v>-17728.629999999997</v>
      </c>
      <c r="E19" s="12">
        <f t="shared" si="13"/>
        <v>-14768.159999999996</v>
      </c>
      <c r="F19" s="12">
        <f t="shared" si="13"/>
        <v>-16032.810000000001</v>
      </c>
      <c r="G19" s="12">
        <f t="shared" si="13"/>
        <v>-15944.619999999995</v>
      </c>
      <c r="H19" s="12">
        <f t="shared" si="13"/>
        <v>-14571.780000000002</v>
      </c>
      <c r="I19" s="12">
        <f t="shared" si="13"/>
        <v>-7754.9000000000015</v>
      </c>
      <c r="J19" s="12">
        <f t="shared" si="13"/>
        <v>-674.44000000000233</v>
      </c>
      <c r="K19" s="12">
        <f t="shared" si="13"/>
        <v>-1935.6599999999999</v>
      </c>
      <c r="L19" s="12">
        <f>L18-L17</f>
        <v>-2198.880000000001</v>
      </c>
      <c r="M19" s="12">
        <f t="shared" si="13"/>
        <v>-2466.4900000000016</v>
      </c>
      <c r="N19" s="12">
        <f t="shared" si="13"/>
        <v>5686.7900000000009</v>
      </c>
      <c r="O19" s="2">
        <f t="shared" si="0"/>
        <v>-104467.16</v>
      </c>
      <c r="P19" s="90"/>
      <c r="Q19" s="8" t="s">
        <v>32</v>
      </c>
      <c r="R19" s="12">
        <f>R18-R17</f>
        <v>-23210.05000000001</v>
      </c>
      <c r="S19" s="12">
        <f t="shared" ref="S19:AC19" si="14">S18-S17</f>
        <v>-20152.570000000007</v>
      </c>
      <c r="T19" s="12">
        <f t="shared" si="14"/>
        <v>-12182.14</v>
      </c>
      <c r="U19" s="12">
        <f t="shared" si="14"/>
        <v>-39186.380000000005</v>
      </c>
      <c r="V19" s="12">
        <f t="shared" si="14"/>
        <v>-15744.21</v>
      </c>
      <c r="W19" s="12">
        <f t="shared" si="14"/>
        <v>-24645.980000000003</v>
      </c>
      <c r="X19" s="12">
        <f t="shared" si="14"/>
        <v>-12205.310000000001</v>
      </c>
      <c r="Y19" s="12">
        <f t="shared" si="14"/>
        <v>5451.57</v>
      </c>
      <c r="Z19" s="12">
        <f t="shared" si="14"/>
        <v>-4037.1600000000035</v>
      </c>
      <c r="AA19" s="12">
        <f t="shared" si="14"/>
        <v>-3072.8600000000006</v>
      </c>
      <c r="AB19" s="12">
        <f t="shared" si="14"/>
        <v>-2179.260000000002</v>
      </c>
      <c r="AC19" s="12">
        <f t="shared" si="14"/>
        <v>16434.43</v>
      </c>
      <c r="AD19" s="2">
        <f t="shared" si="1"/>
        <v>-134729.92000000004</v>
      </c>
      <c r="AF19" s="51">
        <f t="shared" si="2"/>
        <v>-239197.08000000005</v>
      </c>
    </row>
    <row r="20" spans="1:32">
      <c r="A20" s="107" t="s">
        <v>37</v>
      </c>
      <c r="B20" s="10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f t="shared" si="0"/>
        <v>0</v>
      </c>
      <c r="P20" s="107" t="s">
        <v>37</v>
      </c>
      <c r="Q20" s="107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>
        <f t="shared" si="1"/>
        <v>0</v>
      </c>
      <c r="AF20" s="51">
        <f t="shared" si="2"/>
        <v>0</v>
      </c>
    </row>
    <row r="21" spans="1:32" ht="21.75" customHeight="1">
      <c r="A21" s="115" t="s">
        <v>41</v>
      </c>
      <c r="B21" s="115"/>
      <c r="C21" s="2">
        <v>7003.5</v>
      </c>
      <c r="D21" s="2">
        <v>7003.5</v>
      </c>
      <c r="E21" s="2">
        <v>7003.5</v>
      </c>
      <c r="F21" s="2">
        <v>7003.5</v>
      </c>
      <c r="G21" s="2">
        <v>7003.5</v>
      </c>
      <c r="H21" s="2">
        <v>7003.5</v>
      </c>
      <c r="I21" s="2">
        <v>7003.5</v>
      </c>
      <c r="J21" s="2">
        <v>7003.5</v>
      </c>
      <c r="K21" s="2">
        <v>7003.5</v>
      </c>
      <c r="L21" s="2">
        <v>7003.5</v>
      </c>
      <c r="M21" s="2">
        <v>7003.5</v>
      </c>
      <c r="N21" s="2">
        <v>7003.5</v>
      </c>
      <c r="O21" s="2">
        <f t="shared" si="0"/>
        <v>84042</v>
      </c>
      <c r="P21" s="115" t="s">
        <v>41</v>
      </c>
      <c r="Q21" s="115"/>
      <c r="R21" s="2">
        <v>7003.5</v>
      </c>
      <c r="S21" s="2">
        <v>7003.5</v>
      </c>
      <c r="T21" s="2">
        <v>7003.5</v>
      </c>
      <c r="U21" s="2">
        <v>7003.5</v>
      </c>
      <c r="V21" s="2">
        <v>7003.5</v>
      </c>
      <c r="W21" s="2">
        <v>7003.5</v>
      </c>
      <c r="X21" s="2">
        <v>7003.5</v>
      </c>
      <c r="Y21" s="2">
        <v>7003.5</v>
      </c>
      <c r="Z21" s="2">
        <v>7003.5</v>
      </c>
      <c r="AA21" s="2">
        <v>7003.5</v>
      </c>
      <c r="AB21" s="2">
        <v>7003.5</v>
      </c>
      <c r="AC21" s="2">
        <v>7003.5</v>
      </c>
      <c r="AD21" s="2">
        <f t="shared" si="1"/>
        <v>84042</v>
      </c>
      <c r="AF21" s="51">
        <f>O21+AD21</f>
        <v>168084</v>
      </c>
    </row>
    <row r="22" spans="1:32" ht="21.75" customHeight="1">
      <c r="A22" s="116" t="s">
        <v>42</v>
      </c>
      <c r="B22" s="117"/>
      <c r="C22" s="2">
        <v>3023.39</v>
      </c>
      <c r="D22" s="2">
        <v>1753.65</v>
      </c>
      <c r="E22" s="2">
        <v>1673.05</v>
      </c>
      <c r="F22" s="2">
        <v>4746.75</v>
      </c>
      <c r="G22" s="2">
        <v>1538.65</v>
      </c>
      <c r="H22" s="2">
        <v>1538.65</v>
      </c>
      <c r="I22" s="2">
        <v>1879.5233333333299</v>
      </c>
      <c r="J22" s="2">
        <v>1736.80904761905</v>
      </c>
      <c r="K22" s="2">
        <v>1594.0947619047599</v>
      </c>
      <c r="L22" s="2">
        <v>1451.3804761904801</v>
      </c>
      <c r="M22" s="2">
        <v>1308.66619047619</v>
      </c>
      <c r="N22" s="2">
        <v>1165.9519047619101</v>
      </c>
      <c r="O22" s="2">
        <f t="shared" si="0"/>
        <v>23410.565714285716</v>
      </c>
      <c r="P22" s="116" t="s">
        <v>42</v>
      </c>
      <c r="Q22" s="117"/>
      <c r="R22" s="2">
        <v>4478.83</v>
      </c>
      <c r="S22" s="2">
        <v>2597.84</v>
      </c>
      <c r="T22" s="2">
        <v>2478.44</v>
      </c>
      <c r="U22" s="2">
        <v>7031.8</v>
      </c>
      <c r="V22" s="2">
        <v>2279.3000000000002</v>
      </c>
      <c r="W22" s="2">
        <v>2279.3000000000002</v>
      </c>
      <c r="X22" s="2">
        <v>2784.2606666666702</v>
      </c>
      <c r="Y22" s="2">
        <v>2572.8346666666698</v>
      </c>
      <c r="Z22" s="2">
        <v>2361.4086666666699</v>
      </c>
      <c r="AA22" s="2">
        <v>2149.98266666667</v>
      </c>
      <c r="AB22" s="2">
        <v>1938.55666666667</v>
      </c>
      <c r="AC22" s="2">
        <v>1727.1306666666701</v>
      </c>
      <c r="AD22" s="2">
        <f t="shared" si="1"/>
        <v>34679.684000000016</v>
      </c>
      <c r="AF22" s="51">
        <f t="shared" ref="AF22:AF46" si="15">O22+AD22</f>
        <v>58090.249714285732</v>
      </c>
    </row>
    <row r="23" spans="1:32" ht="21.75" customHeight="1">
      <c r="A23" s="30" t="s">
        <v>43</v>
      </c>
      <c r="B23" s="31"/>
      <c r="C23" s="2">
        <v>494.4</v>
      </c>
      <c r="D23" s="2">
        <v>376.8</v>
      </c>
      <c r="E23" s="2">
        <v>332.47</v>
      </c>
      <c r="F23" s="2">
        <v>332.47</v>
      </c>
      <c r="G23" s="2">
        <v>511.8</v>
      </c>
      <c r="H23" s="2">
        <f>241.8+173.29</f>
        <v>415.09000000000003</v>
      </c>
      <c r="I23" s="2">
        <v>406.72899999999998</v>
      </c>
      <c r="J23" s="2">
        <v>405.77600000000001</v>
      </c>
      <c r="K23" s="2">
        <v>404.82299999999998</v>
      </c>
      <c r="L23" s="2">
        <v>403.87</v>
      </c>
      <c r="M23" s="2">
        <v>402.91699999999997</v>
      </c>
      <c r="N23" s="2">
        <f>241.8+173.29</f>
        <v>415.09000000000003</v>
      </c>
      <c r="O23" s="2">
        <f t="shared" si="0"/>
        <v>4902.2349999999997</v>
      </c>
      <c r="P23" s="39" t="s">
        <v>43</v>
      </c>
      <c r="Q23" s="36"/>
      <c r="R23" s="2">
        <v>732.4</v>
      </c>
      <c r="S23" s="2">
        <v>558.20000000000005</v>
      </c>
      <c r="T23" s="2">
        <v>492.52</v>
      </c>
      <c r="U23" s="2">
        <v>492.52</v>
      </c>
      <c r="V23" s="2">
        <v>758.19</v>
      </c>
      <c r="W23" s="2">
        <v>256.70999999999998</v>
      </c>
      <c r="X23" s="2">
        <v>370.57533333333299</v>
      </c>
      <c r="Y23" s="2">
        <v>319.76161904761898</v>
      </c>
      <c r="Z23" s="2">
        <v>268.94790476190502</v>
      </c>
      <c r="AA23" s="2">
        <v>218.13419047619001</v>
      </c>
      <c r="AB23" s="2">
        <v>167.320476190476</v>
      </c>
      <c r="AC23" s="2">
        <v>116.506761904762</v>
      </c>
      <c r="AD23" s="2">
        <f t="shared" si="1"/>
        <v>4751.7862857142864</v>
      </c>
      <c r="AF23" s="51">
        <f t="shared" si="15"/>
        <v>9654.0212857142869</v>
      </c>
    </row>
    <row r="24" spans="1:32" ht="21.75" customHeight="1">
      <c r="A24" s="30" t="s">
        <v>49</v>
      </c>
      <c r="B24" s="31"/>
      <c r="C24" s="2">
        <v>1020.8</v>
      </c>
      <c r="D24" s="2">
        <v>1046.8</v>
      </c>
      <c r="E24" s="2">
        <v>1165.77</v>
      </c>
      <c r="F24" s="2">
        <v>858.3</v>
      </c>
      <c r="G24" s="2">
        <v>1112.6199999999999</v>
      </c>
      <c r="H24" s="2">
        <v>1224.8</v>
      </c>
      <c r="I24" s="2">
        <v>1025.53</v>
      </c>
      <c r="J24" s="2">
        <v>1263.96</v>
      </c>
      <c r="K24" s="2">
        <v>1162.3599999999999</v>
      </c>
      <c r="L24" s="2">
        <v>1152.0999999999999</v>
      </c>
      <c r="M24" s="2">
        <v>1124.06</v>
      </c>
      <c r="N24" s="2">
        <v>283.64999999999998</v>
      </c>
      <c r="O24" s="2">
        <f t="shared" si="0"/>
        <v>12440.75</v>
      </c>
      <c r="P24" s="39" t="s">
        <v>49</v>
      </c>
      <c r="Q24" s="36"/>
      <c r="R24" s="2">
        <v>1512.22</v>
      </c>
      <c r="S24" s="2">
        <v>1550.92</v>
      </c>
      <c r="T24" s="2">
        <v>1726.97</v>
      </c>
      <c r="U24" s="2">
        <v>1271.48</v>
      </c>
      <c r="V24" s="2">
        <v>1648.08</v>
      </c>
      <c r="W24" s="2">
        <v>1814.4</v>
      </c>
      <c r="X24" s="2">
        <v>1519.21</v>
      </c>
      <c r="Y24" s="2">
        <v>1872.42</v>
      </c>
      <c r="Z24" s="2">
        <v>1721.9</v>
      </c>
      <c r="AA24" s="2">
        <v>1732.17</v>
      </c>
      <c r="AB24" s="2">
        <v>1665.17</v>
      </c>
      <c r="AC24" s="2">
        <v>420.2</v>
      </c>
      <c r="AD24" s="2">
        <f t="shared" si="1"/>
        <v>18455.14</v>
      </c>
      <c r="AF24" s="51">
        <f t="shared" si="15"/>
        <v>30895.89</v>
      </c>
    </row>
    <row r="25" spans="1:32" ht="22.5" customHeight="1">
      <c r="A25" s="115" t="s">
        <v>44</v>
      </c>
      <c r="B25" s="115"/>
      <c r="C25" s="2">
        <v>4433</v>
      </c>
      <c r="D25" s="2">
        <v>4433</v>
      </c>
      <c r="E25" s="2">
        <v>4433</v>
      </c>
      <c r="F25" s="2">
        <v>4433</v>
      </c>
      <c r="G25" s="2">
        <v>4433</v>
      </c>
      <c r="H25" s="2">
        <v>4433</v>
      </c>
      <c r="I25" s="2">
        <v>4433</v>
      </c>
      <c r="J25" s="2">
        <v>4433</v>
      </c>
      <c r="K25" s="2">
        <v>4433</v>
      </c>
      <c r="L25" s="2">
        <v>4433</v>
      </c>
      <c r="M25" s="2">
        <v>4433</v>
      </c>
      <c r="N25" s="2">
        <v>4433</v>
      </c>
      <c r="O25" s="2">
        <f t="shared" si="0"/>
        <v>53196</v>
      </c>
      <c r="P25" s="115" t="s">
        <v>44</v>
      </c>
      <c r="Q25" s="115"/>
      <c r="R25" s="2">
        <v>5968.3</v>
      </c>
      <c r="S25" s="2">
        <v>5968.3</v>
      </c>
      <c r="T25" s="2">
        <v>5968.3</v>
      </c>
      <c r="U25" s="2">
        <v>5968.3</v>
      </c>
      <c r="V25" s="2">
        <v>5968.3</v>
      </c>
      <c r="W25" s="2">
        <v>5968.3</v>
      </c>
      <c r="X25" s="2">
        <v>5968.3</v>
      </c>
      <c r="Y25" s="2">
        <v>5968.3</v>
      </c>
      <c r="Z25" s="2">
        <v>6567</v>
      </c>
      <c r="AA25" s="2">
        <v>6567</v>
      </c>
      <c r="AB25" s="2">
        <v>6567</v>
      </c>
      <c r="AC25" s="2">
        <v>6567</v>
      </c>
      <c r="AD25" s="2">
        <f t="shared" si="1"/>
        <v>74014.400000000009</v>
      </c>
      <c r="AF25" s="51">
        <f t="shared" si="15"/>
        <v>127210.40000000001</v>
      </c>
    </row>
    <row r="26" spans="1:32" ht="22.5" customHeight="1">
      <c r="A26" s="115" t="s">
        <v>45</v>
      </c>
      <c r="B26" s="115"/>
      <c r="C26" s="2"/>
      <c r="D26" s="2">
        <v>405</v>
      </c>
      <c r="E26" s="2">
        <v>153.6</v>
      </c>
      <c r="F26" s="2">
        <f>127+20.9+147</f>
        <v>294.89999999999998</v>
      </c>
      <c r="G26" s="2">
        <f>487.6+26.2</f>
        <v>513.80000000000007</v>
      </c>
      <c r="H26" s="2">
        <f>706+285.5+45+59.5</f>
        <v>1096</v>
      </c>
      <c r="I26" s="2">
        <f>32.2</f>
        <v>32.200000000000003</v>
      </c>
      <c r="J26" s="2">
        <v>1705.09</v>
      </c>
      <c r="K26" s="2"/>
      <c r="L26" s="2"/>
      <c r="M26" s="2"/>
      <c r="N26" s="2"/>
      <c r="O26" s="2">
        <f t="shared" si="0"/>
        <v>4200.59</v>
      </c>
      <c r="P26" s="115" t="s">
        <v>45</v>
      </c>
      <c r="Q26" s="115"/>
      <c r="R26" s="2">
        <f>458+56.5</f>
        <v>514.5</v>
      </c>
      <c r="S26" s="2">
        <f>384+115</f>
        <v>499</v>
      </c>
      <c r="T26" s="2">
        <v>227.5</v>
      </c>
      <c r="U26" s="2">
        <f>31.1+98+189+124+167+125</f>
        <v>734.1</v>
      </c>
      <c r="V26" s="2">
        <f>88+38.8+128+11.94+722.37+197+404</f>
        <v>1590.1100000000001</v>
      </c>
      <c r="W26" s="2"/>
      <c r="X26" s="2">
        <f>287.5+239+59.5+43+600+375+98</f>
        <v>1702</v>
      </c>
      <c r="Y26" s="2">
        <v>2526</v>
      </c>
      <c r="Z26" s="2">
        <v>335</v>
      </c>
      <c r="AA26" s="2"/>
      <c r="AB26" s="2"/>
      <c r="AC26" s="2"/>
      <c r="AD26" s="2">
        <f t="shared" si="1"/>
        <v>8128.21</v>
      </c>
      <c r="AF26" s="51">
        <f t="shared" si="15"/>
        <v>12328.8</v>
      </c>
    </row>
    <row r="27" spans="1:32" ht="22.5" customHeight="1">
      <c r="A27" s="118" t="s">
        <v>51</v>
      </c>
      <c r="B27" s="119"/>
      <c r="C27" s="2">
        <f>843+388+1481.4</f>
        <v>2712.4</v>
      </c>
      <c r="D27" s="2"/>
      <c r="E27" s="2">
        <f>77+345</f>
        <v>422</v>
      </c>
      <c r="F27" s="2">
        <v>112</v>
      </c>
      <c r="G27" s="2">
        <f>297+1556+594.4</f>
        <v>2447.4</v>
      </c>
      <c r="H27" s="2">
        <f>600+206.55+706+231.7+45+48+71+375</f>
        <v>2283.25</v>
      </c>
      <c r="I27" s="2">
        <f>259+7085+304+98</f>
        <v>7746</v>
      </c>
      <c r="J27" s="2">
        <f>33+107+2935+390+5.5+5.5+116+1035+865+876+904.95+240.9+119.25+1286+3426</f>
        <v>12345.099999999999</v>
      </c>
      <c r="K27" s="2">
        <f>47+64+41.85+1159.2+1818+3131+2590+239.5+1209.6</f>
        <v>10300.15</v>
      </c>
      <c r="L27" s="2">
        <f>100.5</f>
        <v>100.5</v>
      </c>
      <c r="M27" s="2">
        <f>240+509.4</f>
        <v>749.4</v>
      </c>
      <c r="N27" s="2">
        <f>61+187+1500+1000</f>
        <v>2748</v>
      </c>
      <c r="O27" s="2">
        <f t="shared" si="0"/>
        <v>41966.2</v>
      </c>
      <c r="P27" s="118" t="s">
        <v>51</v>
      </c>
      <c r="Q27" s="119"/>
      <c r="R27" s="2">
        <f>89+133.5</f>
        <v>222.5</v>
      </c>
      <c r="S27" s="2">
        <f>293+25</f>
        <v>318</v>
      </c>
      <c r="T27" s="2">
        <f>230+1590</f>
        <v>1820</v>
      </c>
      <c r="U27" s="2">
        <f>194+268+792+143+740+867+280</f>
        <v>3284</v>
      </c>
      <c r="V27" s="2">
        <f>2819+1516+1495</f>
        <v>5830</v>
      </c>
      <c r="W27" s="2">
        <f>43+239+343.2</f>
        <v>625.20000000000005</v>
      </c>
      <c r="X27" s="2">
        <f>47.8+50+196+50+700</f>
        <v>1043.8</v>
      </c>
      <c r="Y27" s="2">
        <f>249.9+752+64+1331.55+110+209</f>
        <v>2716.45</v>
      </c>
      <c r="Z27" s="2">
        <f>490+62+142.5+14+289.35+90+94+138.6+84.15+188+255.9+138+6.3</f>
        <v>1992.8</v>
      </c>
      <c r="AA27" s="2">
        <f>269+164+513+260+449+33+246+639+535+520+587</f>
        <v>4215</v>
      </c>
      <c r="AB27" s="2">
        <f>234.5+177+175+255.3+165+1485</f>
        <v>2491.8000000000002</v>
      </c>
      <c r="AC27" s="2">
        <f>490+750</f>
        <v>1240</v>
      </c>
      <c r="AD27" s="2">
        <f t="shared" si="1"/>
        <v>25799.55</v>
      </c>
      <c r="AF27" s="51">
        <f t="shared" si="15"/>
        <v>67765.75</v>
      </c>
    </row>
    <row r="28" spans="1:32" ht="38.25" customHeight="1">
      <c r="A28" s="15" t="s">
        <v>46</v>
      </c>
      <c r="B28" s="16"/>
      <c r="C28" s="2"/>
      <c r="D28" s="2">
        <v>1833.65</v>
      </c>
      <c r="E28" s="2">
        <v>600</v>
      </c>
      <c r="F28" s="2"/>
      <c r="G28" s="2"/>
      <c r="H28" s="2"/>
      <c r="I28" s="2"/>
      <c r="J28" s="2"/>
      <c r="K28" s="2"/>
      <c r="L28" s="2"/>
      <c r="M28" s="2">
        <v>2585</v>
      </c>
      <c r="N28" s="2">
        <v>523.9</v>
      </c>
      <c r="O28" s="2">
        <f t="shared" si="0"/>
        <v>5542.5499999999993</v>
      </c>
      <c r="P28" s="100" t="s">
        <v>46</v>
      </c>
      <c r="Q28" s="101"/>
      <c r="R28" s="2"/>
      <c r="S28" s="2"/>
      <c r="T28" s="2">
        <v>1200</v>
      </c>
      <c r="U28" s="2"/>
      <c r="V28" s="2"/>
      <c r="W28" s="2">
        <f>6500+3250+2716.35</f>
        <v>12466.35</v>
      </c>
      <c r="X28" s="2"/>
      <c r="Y28" s="2">
        <v>129</v>
      </c>
      <c r="Z28" s="2"/>
      <c r="AA28" s="2"/>
      <c r="AB28" s="2">
        <v>4135</v>
      </c>
      <c r="AC28" s="2">
        <f>776.1+800+780+744+225+1300</f>
        <v>4625.1000000000004</v>
      </c>
      <c r="AD28" s="2">
        <f t="shared" si="1"/>
        <v>22555.449999999997</v>
      </c>
      <c r="AF28" s="51">
        <f t="shared" si="15"/>
        <v>28097.999999999996</v>
      </c>
    </row>
    <row r="29" spans="1:32" ht="25.5" customHeight="1">
      <c r="A29" s="100" t="s">
        <v>47</v>
      </c>
      <c r="B29" s="101"/>
      <c r="C29" s="2"/>
      <c r="D29" s="2"/>
      <c r="E29" s="2"/>
      <c r="F29" s="2"/>
      <c r="G29" s="2"/>
      <c r="H29" s="2"/>
      <c r="I29" s="2"/>
      <c r="J29" s="2"/>
      <c r="K29" s="2"/>
      <c r="L29" s="2"/>
      <c r="M29" s="2">
        <v>1289</v>
      </c>
      <c r="N29" s="2"/>
      <c r="O29" s="2">
        <f t="shared" si="0"/>
        <v>1289</v>
      </c>
      <c r="P29" s="100" t="s">
        <v>47</v>
      </c>
      <c r="Q29" s="101"/>
      <c r="R29" s="2">
        <v>3000</v>
      </c>
      <c r="S29" s="2"/>
      <c r="T29" s="2">
        <v>2000</v>
      </c>
      <c r="U29" s="2"/>
      <c r="V29" s="2"/>
      <c r="W29" s="2"/>
      <c r="X29" s="2"/>
      <c r="Y29" s="2"/>
      <c r="Z29" s="2"/>
      <c r="AA29" s="2"/>
      <c r="AB29" s="2">
        <f>1911+5300</f>
        <v>7211</v>
      </c>
      <c r="AC29" s="2"/>
      <c r="AD29" s="2">
        <f t="shared" si="1"/>
        <v>12211</v>
      </c>
      <c r="AF29" s="51">
        <f t="shared" si="15"/>
        <v>13500</v>
      </c>
    </row>
    <row r="30" spans="1:32" ht="25.5" customHeight="1">
      <c r="A30" s="100" t="s">
        <v>50</v>
      </c>
      <c r="B30" s="10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>
        <f t="shared" si="0"/>
        <v>0</v>
      </c>
      <c r="P30" s="100" t="s">
        <v>50</v>
      </c>
      <c r="Q30" s="101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>
        <f t="shared" si="1"/>
        <v>0</v>
      </c>
      <c r="AF30" s="51">
        <f t="shared" si="15"/>
        <v>0</v>
      </c>
    </row>
    <row r="31" spans="1:32" ht="25.5" customHeight="1">
      <c r="A31" s="28" t="s">
        <v>63</v>
      </c>
      <c r="B31" s="29"/>
      <c r="C31" s="2">
        <v>6659.83</v>
      </c>
      <c r="D31" s="2">
        <v>6659.83</v>
      </c>
      <c r="E31" s="2">
        <v>6659.83</v>
      </c>
      <c r="F31" s="2">
        <v>6659.83</v>
      </c>
      <c r="G31" s="2">
        <v>6659.83</v>
      </c>
      <c r="H31" s="2">
        <v>6659.83</v>
      </c>
      <c r="I31" s="2">
        <v>6659.83</v>
      </c>
      <c r="J31" s="2">
        <v>6659.83</v>
      </c>
      <c r="K31" s="2">
        <v>6659.83</v>
      </c>
      <c r="L31" s="2">
        <v>6659.83</v>
      </c>
      <c r="M31" s="2">
        <v>6659.83</v>
      </c>
      <c r="N31" s="2">
        <v>6659.83</v>
      </c>
      <c r="O31" s="2">
        <f t="shared" si="0"/>
        <v>79917.960000000006</v>
      </c>
      <c r="P31" s="37" t="s">
        <v>63</v>
      </c>
      <c r="Q31" s="38"/>
      <c r="R31" s="2">
        <v>9865.7999999999993</v>
      </c>
      <c r="S31" s="2">
        <v>9865.7999999999993</v>
      </c>
      <c r="T31" s="2">
        <v>9865.7999999999993</v>
      </c>
      <c r="U31" s="2">
        <v>9865.7999999999993</v>
      </c>
      <c r="V31" s="2">
        <v>9865.7999999999993</v>
      </c>
      <c r="W31" s="2">
        <v>9865.7999999999993</v>
      </c>
      <c r="X31" s="2">
        <v>9865.7999999999993</v>
      </c>
      <c r="Y31" s="2">
        <v>9865.7999999999993</v>
      </c>
      <c r="Z31" s="2">
        <v>9865.7999999999993</v>
      </c>
      <c r="AA31" s="2">
        <v>9865.7999999999993</v>
      </c>
      <c r="AB31" s="2">
        <v>9865.7999999999993</v>
      </c>
      <c r="AC31" s="2">
        <v>9865.7999999999993</v>
      </c>
      <c r="AD31" s="2">
        <f t="shared" si="1"/>
        <v>118389.60000000002</v>
      </c>
      <c r="AF31" s="51">
        <f t="shared" si="15"/>
        <v>198307.56000000003</v>
      </c>
    </row>
    <row r="32" spans="1:32" ht="25.5" customHeight="1">
      <c r="A32" s="28" t="s">
        <v>60</v>
      </c>
      <c r="B32" s="29"/>
      <c r="C32" s="2"/>
      <c r="D32" s="2"/>
      <c r="E32" s="2"/>
      <c r="F32" s="2"/>
      <c r="G32" s="2"/>
      <c r="H32" s="2">
        <v>405</v>
      </c>
      <c r="I32" s="2"/>
      <c r="J32" s="2"/>
      <c r="K32" s="2"/>
      <c r="L32" s="2"/>
      <c r="M32" s="2"/>
      <c r="N32" s="2"/>
      <c r="O32" s="2">
        <f t="shared" si="0"/>
        <v>405</v>
      </c>
      <c r="P32" s="100" t="s">
        <v>60</v>
      </c>
      <c r="Q32" s="101"/>
      <c r="R32" s="2"/>
      <c r="S32" s="2"/>
      <c r="T32" s="2"/>
      <c r="U32" s="2"/>
      <c r="V32" s="2"/>
      <c r="W32" s="2">
        <v>405</v>
      </c>
      <c r="X32" s="2"/>
      <c r="Y32" s="2"/>
      <c r="Z32" s="2"/>
      <c r="AA32" s="2"/>
      <c r="AB32" s="2"/>
      <c r="AC32" s="2"/>
      <c r="AD32" s="2">
        <f t="shared" si="1"/>
        <v>405</v>
      </c>
      <c r="AF32" s="51">
        <f t="shared" si="15"/>
        <v>810</v>
      </c>
    </row>
    <row r="33" spans="1:32">
      <c r="A33" s="106" t="s">
        <v>7</v>
      </c>
      <c r="B33" s="32" t="s">
        <v>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>
        <f t="shared" si="0"/>
        <v>0</v>
      </c>
      <c r="P33" s="34" t="s">
        <v>7</v>
      </c>
      <c r="Q33" s="34" t="s">
        <v>8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>
        <f t="shared" si="1"/>
        <v>0</v>
      </c>
      <c r="AF33" s="51">
        <f t="shared" si="15"/>
        <v>0</v>
      </c>
    </row>
    <row r="34" spans="1:32">
      <c r="A34" s="106"/>
      <c r="B34" s="32" t="s">
        <v>9</v>
      </c>
      <c r="C34" s="2">
        <v>0</v>
      </c>
      <c r="D34" s="2"/>
      <c r="E34" s="2">
        <f>500+1500</f>
        <v>2000</v>
      </c>
      <c r="F34" s="2">
        <v>1000</v>
      </c>
      <c r="G34" s="2"/>
      <c r="H34" s="2">
        <f>1200+500+206.55</f>
        <v>1906.55</v>
      </c>
      <c r="I34" s="2">
        <f>752+1500</f>
        <v>2252</v>
      </c>
      <c r="J34" s="2">
        <f>40000+68932+2000+5500+1846</f>
        <v>118278</v>
      </c>
      <c r="K34" s="2"/>
      <c r="L34" s="2">
        <v>5000</v>
      </c>
      <c r="M34" s="2"/>
      <c r="N34" s="2"/>
      <c r="O34" s="2">
        <f t="shared" si="0"/>
        <v>130436.55</v>
      </c>
      <c r="P34" s="34"/>
      <c r="Q34" s="34" t="s">
        <v>9</v>
      </c>
      <c r="R34" s="2">
        <v>0</v>
      </c>
      <c r="S34" s="2">
        <v>707</v>
      </c>
      <c r="T34" s="2">
        <v>1500</v>
      </c>
      <c r="U34" s="2"/>
      <c r="V34" s="2">
        <v>42347</v>
      </c>
      <c r="W34" s="2">
        <f>13000+1100+1986</f>
        <v>16086</v>
      </c>
      <c r="X34" s="2">
        <v>10400</v>
      </c>
      <c r="Y34" s="2"/>
      <c r="Z34" s="2"/>
      <c r="AA34" s="2"/>
      <c r="AB34" s="2"/>
      <c r="AC34" s="2">
        <v>0</v>
      </c>
      <c r="AD34" s="2">
        <f t="shared" si="1"/>
        <v>71040</v>
      </c>
      <c r="AF34" s="51">
        <f t="shared" si="15"/>
        <v>201476.55</v>
      </c>
    </row>
    <row r="35" spans="1:32">
      <c r="A35" s="106"/>
      <c r="B35" s="6" t="s">
        <v>10</v>
      </c>
      <c r="C35" s="1">
        <f t="shared" ref="C35:N35" si="16">C9-C34</f>
        <v>6184.88</v>
      </c>
      <c r="D35" s="1">
        <f t="shared" si="16"/>
        <v>5754.05</v>
      </c>
      <c r="E35" s="1">
        <f t="shared" si="16"/>
        <v>4624.72</v>
      </c>
      <c r="F35" s="1">
        <f t="shared" si="16"/>
        <v>5256.41</v>
      </c>
      <c r="G35" s="1">
        <f t="shared" si="16"/>
        <v>17478.650000000001</v>
      </c>
      <c r="H35" s="1">
        <f t="shared" si="16"/>
        <v>4739.5199999999995</v>
      </c>
      <c r="I35" s="1">
        <f t="shared" si="16"/>
        <v>-2252</v>
      </c>
      <c r="J35" s="1">
        <f t="shared" si="16"/>
        <v>-118278</v>
      </c>
      <c r="K35" s="1">
        <f t="shared" si="16"/>
        <v>0</v>
      </c>
      <c r="L35" s="1">
        <f t="shared" si="16"/>
        <v>-5000</v>
      </c>
      <c r="M35" s="1">
        <f t="shared" si="16"/>
        <v>0</v>
      </c>
      <c r="N35" s="1">
        <f t="shared" si="16"/>
        <v>0</v>
      </c>
      <c r="O35" s="2">
        <f t="shared" si="0"/>
        <v>-81491.76999999999</v>
      </c>
      <c r="P35" s="34"/>
      <c r="Q35" s="6" t="s">
        <v>10</v>
      </c>
      <c r="R35" s="1">
        <f t="shared" ref="R35:AC35" si="17">R9-R34</f>
        <v>9995.75</v>
      </c>
      <c r="S35" s="1">
        <f t="shared" si="17"/>
        <v>10171.74</v>
      </c>
      <c r="T35" s="1">
        <f t="shared" si="17"/>
        <v>11570.11</v>
      </c>
      <c r="U35" s="1">
        <f t="shared" si="17"/>
        <v>8190.2000000000007</v>
      </c>
      <c r="V35" s="1">
        <f t="shared" si="17"/>
        <v>-30299.809999999998</v>
      </c>
      <c r="W35" s="1">
        <f t="shared" si="17"/>
        <v>-6656.5500000000011</v>
      </c>
      <c r="X35" s="1">
        <f t="shared" si="17"/>
        <v>-10400</v>
      </c>
      <c r="Y35" s="1">
        <f t="shared" si="17"/>
        <v>0</v>
      </c>
      <c r="Z35" s="1">
        <f t="shared" si="17"/>
        <v>0</v>
      </c>
      <c r="AA35" s="1">
        <f t="shared" si="17"/>
        <v>0</v>
      </c>
      <c r="AB35" s="1">
        <f t="shared" si="17"/>
        <v>0</v>
      </c>
      <c r="AC35" s="1">
        <f t="shared" si="17"/>
        <v>0</v>
      </c>
      <c r="AD35" s="2">
        <f t="shared" si="1"/>
        <v>-7428.5599999999959</v>
      </c>
      <c r="AF35" s="51">
        <f t="shared" si="15"/>
        <v>-88920.329999999987</v>
      </c>
    </row>
    <row r="36" spans="1:32" ht="21" customHeight="1">
      <c r="A36" s="100" t="s">
        <v>48</v>
      </c>
      <c r="B36" s="101"/>
      <c r="C36" s="1"/>
      <c r="D36" s="1"/>
      <c r="E36" s="1"/>
      <c r="F36" s="1"/>
      <c r="G36" s="1"/>
      <c r="H36" s="1">
        <v>1200</v>
      </c>
      <c r="I36" s="1"/>
      <c r="J36" s="1"/>
      <c r="K36" s="1"/>
      <c r="L36" s="1"/>
      <c r="M36" s="1"/>
      <c r="N36" s="1"/>
      <c r="O36" s="2">
        <f t="shared" si="0"/>
        <v>1200</v>
      </c>
      <c r="P36" s="37" t="s">
        <v>48</v>
      </c>
      <c r="Q36" s="38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>
        <f t="shared" si="1"/>
        <v>0</v>
      </c>
      <c r="AF36" s="51">
        <f t="shared" si="15"/>
        <v>1200</v>
      </c>
    </row>
    <row r="37" spans="1:32" ht="22.5" customHeight="1">
      <c r="A37" s="96" t="s">
        <v>11</v>
      </c>
      <c r="B37" s="96"/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400</v>
      </c>
      <c r="L37" s="2">
        <v>0</v>
      </c>
      <c r="M37" s="2">
        <v>0</v>
      </c>
      <c r="N37" s="2">
        <v>0</v>
      </c>
      <c r="O37" s="2">
        <f t="shared" si="0"/>
        <v>400</v>
      </c>
      <c r="P37" s="96" t="s">
        <v>11</v>
      </c>
      <c r="Q37" s="96"/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f t="shared" si="1"/>
        <v>0</v>
      </c>
      <c r="AF37" s="51">
        <f t="shared" si="15"/>
        <v>400</v>
      </c>
    </row>
    <row r="38" spans="1:32" ht="33" customHeight="1">
      <c r="A38" s="116" t="s">
        <v>38</v>
      </c>
      <c r="B38" s="117"/>
      <c r="C38" s="1">
        <f t="shared" ref="C38:N38" si="18">SUM(C21:C37)-C35</f>
        <v>25347.32</v>
      </c>
      <c r="D38" s="1">
        <f t="shared" si="18"/>
        <v>23512.229999999996</v>
      </c>
      <c r="E38" s="1">
        <f t="shared" si="18"/>
        <v>24443.22</v>
      </c>
      <c r="F38" s="1">
        <f t="shared" si="18"/>
        <v>25440.75</v>
      </c>
      <c r="G38" s="1">
        <f t="shared" si="18"/>
        <v>24220.6</v>
      </c>
      <c r="H38" s="1">
        <f t="shared" si="18"/>
        <v>28165.670000000002</v>
      </c>
      <c r="I38" s="1">
        <f t="shared" si="18"/>
        <v>31438.312333333335</v>
      </c>
      <c r="J38" s="1">
        <f t="shared" si="18"/>
        <v>153831.06504761905</v>
      </c>
      <c r="K38" s="1">
        <f t="shared" si="18"/>
        <v>31957.757761904759</v>
      </c>
      <c r="L38" s="1">
        <f t="shared" si="18"/>
        <v>26204.180476190479</v>
      </c>
      <c r="M38" s="1">
        <f t="shared" si="18"/>
        <v>25555.373190476188</v>
      </c>
      <c r="N38" s="1">
        <f t="shared" si="18"/>
        <v>23232.921904761912</v>
      </c>
      <c r="O38" s="2">
        <f t="shared" si="0"/>
        <v>443349.40071428573</v>
      </c>
      <c r="P38" s="116" t="s">
        <v>38</v>
      </c>
      <c r="Q38" s="117"/>
      <c r="R38" s="1">
        <f t="shared" ref="R38:AC38" si="19">SUM(R21:R37)-R35</f>
        <v>33298.050000000003</v>
      </c>
      <c r="S38" s="1">
        <f t="shared" si="19"/>
        <v>29068.560000000005</v>
      </c>
      <c r="T38" s="1">
        <f t="shared" si="19"/>
        <v>34283.03</v>
      </c>
      <c r="U38" s="1">
        <f t="shared" si="19"/>
        <v>35651.5</v>
      </c>
      <c r="V38" s="1">
        <f t="shared" si="19"/>
        <v>77290.28</v>
      </c>
      <c r="W38" s="1">
        <f t="shared" si="19"/>
        <v>56770.559999999998</v>
      </c>
      <c r="X38" s="1">
        <f t="shared" si="19"/>
        <v>40657.445999999996</v>
      </c>
      <c r="Y38" s="1">
        <f t="shared" si="19"/>
        <v>32974.066285714289</v>
      </c>
      <c r="Z38" s="1">
        <f t="shared" si="19"/>
        <v>30116.356571428572</v>
      </c>
      <c r="AA38" s="1">
        <f t="shared" si="19"/>
        <v>31751.586857142862</v>
      </c>
      <c r="AB38" s="1">
        <f t="shared" si="19"/>
        <v>41045.147142857146</v>
      </c>
      <c r="AC38" s="1">
        <f t="shared" si="19"/>
        <v>31565.237428571429</v>
      </c>
      <c r="AD38" s="2">
        <f t="shared" si="1"/>
        <v>474471.82028571429</v>
      </c>
      <c r="AF38" s="51">
        <f t="shared" si="15"/>
        <v>917821.22100000002</v>
      </c>
    </row>
    <row r="39" spans="1:32" ht="37.5" customHeight="1">
      <c r="A39" s="106" t="s">
        <v>39</v>
      </c>
      <c r="B39" s="106"/>
      <c r="C39" s="1">
        <f t="shared" ref="C39:N39" si="20">C18-C38</f>
        <v>-4424.9199999999983</v>
      </c>
      <c r="D39" s="1">
        <f t="shared" si="20"/>
        <v>-4239.8899999999994</v>
      </c>
      <c r="E39" s="1">
        <f t="shared" si="20"/>
        <v>-2208.6399999999994</v>
      </c>
      <c r="F39" s="1">
        <f t="shared" si="20"/>
        <v>-4469.1700000000019</v>
      </c>
      <c r="G39" s="1">
        <f t="shared" si="20"/>
        <v>-3160.8299999999945</v>
      </c>
      <c r="H39" s="1">
        <f t="shared" si="20"/>
        <v>-5733.0500000000029</v>
      </c>
      <c r="I39" s="1">
        <f t="shared" si="20"/>
        <v>-11529.852333333336</v>
      </c>
      <c r="J39" s="1">
        <f t="shared" si="20"/>
        <v>-126842.14504761905</v>
      </c>
      <c r="K39" s="1">
        <f t="shared" si="20"/>
        <v>-6230.0577619047581</v>
      </c>
      <c r="L39" s="1">
        <f t="shared" si="20"/>
        <v>-739.70047619047909</v>
      </c>
      <c r="M39" s="1">
        <f t="shared" si="20"/>
        <v>-358.50319047618905</v>
      </c>
      <c r="N39" s="1">
        <f t="shared" si="20"/>
        <v>10117.22809523809</v>
      </c>
      <c r="O39" s="2">
        <f t="shared" si="0"/>
        <v>-159819.53071428571</v>
      </c>
      <c r="P39" s="34" t="s">
        <v>39</v>
      </c>
      <c r="Q39" s="34"/>
      <c r="R39" s="1">
        <f t="shared" ref="R39:AC39" si="21">R18-R38</f>
        <v>223.70999999999185</v>
      </c>
      <c r="S39" s="1">
        <f t="shared" si="21"/>
        <v>7518.8599999999933</v>
      </c>
      <c r="T39" s="1">
        <f t="shared" si="21"/>
        <v>10277.830000000002</v>
      </c>
      <c r="U39" s="1">
        <f t="shared" si="21"/>
        <v>-18091.75</v>
      </c>
      <c r="V39" s="1">
        <f t="shared" si="21"/>
        <v>-36315.789999999994</v>
      </c>
      <c r="W39" s="1">
        <f t="shared" si="21"/>
        <v>-24720.42</v>
      </c>
      <c r="X39" s="1">
        <f t="shared" si="21"/>
        <v>-10113.635999999995</v>
      </c>
      <c r="Y39" s="1">
        <f t="shared" si="21"/>
        <v>15226.623714285714</v>
      </c>
      <c r="Z39" s="1">
        <f t="shared" si="21"/>
        <v>8595.5934285714247</v>
      </c>
      <c r="AA39" s="1">
        <f t="shared" si="21"/>
        <v>7924.6631428571382</v>
      </c>
      <c r="AB39" s="1">
        <f t="shared" si="21"/>
        <v>-475.29714285714726</v>
      </c>
      <c r="AC39" s="1">
        <f t="shared" si="21"/>
        <v>27618.302571428572</v>
      </c>
      <c r="AD39" s="2">
        <f t="shared" si="1"/>
        <v>-12331.310285714299</v>
      </c>
      <c r="AF39" s="51">
        <f t="shared" si="15"/>
        <v>-172150.84100000001</v>
      </c>
    </row>
    <row r="40" spans="1:32" ht="23.25" customHeight="1">
      <c r="A40" s="113" t="s">
        <v>25</v>
      </c>
      <c r="B40" s="113"/>
      <c r="C40" s="10"/>
      <c r="D40" s="10"/>
      <c r="E40" s="9"/>
      <c r="F40" s="9"/>
      <c r="G40" s="9">
        <v>173.59</v>
      </c>
      <c r="H40" s="9">
        <f>G40+15893.03</f>
        <v>16066.62</v>
      </c>
      <c r="I40" s="9"/>
      <c r="J40" s="9"/>
      <c r="K40" s="9"/>
      <c r="L40" s="10"/>
      <c r="M40" s="9"/>
      <c r="N40" s="9"/>
      <c r="O40" s="2">
        <f t="shared" si="0"/>
        <v>16240.210000000001</v>
      </c>
      <c r="P40" s="40" t="s">
        <v>25</v>
      </c>
      <c r="Q40" s="40"/>
      <c r="R40" s="10"/>
      <c r="S40" s="10"/>
      <c r="T40" s="9"/>
      <c r="U40" s="9"/>
      <c r="V40" s="9">
        <v>34014.879999999997</v>
      </c>
      <c r="W40" s="9">
        <f>V40+3257.38</f>
        <v>37272.259999999995</v>
      </c>
      <c r="X40" s="9"/>
      <c r="Y40" s="9"/>
      <c r="Z40" s="9"/>
      <c r="AA40" s="10"/>
      <c r="AB40" s="9"/>
      <c r="AC40" s="9"/>
      <c r="AD40" s="2">
        <f t="shared" si="1"/>
        <v>71287.139999999985</v>
      </c>
      <c r="AF40" s="51">
        <f t="shared" si="15"/>
        <v>87527.349999999991</v>
      </c>
    </row>
    <row r="41" spans="1:32">
      <c r="A41" s="113" t="s">
        <v>26</v>
      </c>
      <c r="B41" s="113"/>
      <c r="C41" s="10"/>
      <c r="D41" s="10"/>
      <c r="E41" s="10"/>
      <c r="F41" s="10"/>
      <c r="G41" s="10"/>
      <c r="H41" s="10"/>
      <c r="I41" s="10"/>
      <c r="J41" s="9"/>
      <c r="K41" s="9"/>
      <c r="L41" s="10"/>
      <c r="M41" s="9"/>
      <c r="N41" s="9"/>
      <c r="O41" s="2">
        <f t="shared" si="0"/>
        <v>0</v>
      </c>
      <c r="P41" s="40" t="s">
        <v>26</v>
      </c>
      <c r="Q41" s="40"/>
      <c r="R41" s="10"/>
      <c r="S41" s="10"/>
      <c r="T41" s="10"/>
      <c r="U41" s="10"/>
      <c r="V41" s="10"/>
      <c r="W41" s="10"/>
      <c r="X41" s="10"/>
      <c r="Y41" s="9"/>
      <c r="Z41" s="9"/>
      <c r="AA41" s="10"/>
      <c r="AB41" s="9"/>
      <c r="AC41" s="9"/>
      <c r="AD41" s="2">
        <f t="shared" si="1"/>
        <v>0</v>
      </c>
      <c r="AF41" s="51">
        <f t="shared" si="15"/>
        <v>0</v>
      </c>
    </row>
    <row r="42" spans="1:32" ht="35.25" customHeight="1">
      <c r="A42" s="113" t="s">
        <v>27</v>
      </c>
      <c r="B42" s="113"/>
      <c r="C42" s="11">
        <f t="shared" ref="C42:K42" si="22">C40-C41</f>
        <v>0</v>
      </c>
      <c r="D42" s="11">
        <f t="shared" si="22"/>
        <v>0</v>
      </c>
      <c r="E42" s="11">
        <f t="shared" si="22"/>
        <v>0</v>
      </c>
      <c r="F42" s="11">
        <f t="shared" si="22"/>
        <v>0</v>
      </c>
      <c r="G42" s="11">
        <f t="shared" si="22"/>
        <v>173.59</v>
      </c>
      <c r="H42" s="11">
        <f t="shared" si="22"/>
        <v>16066.62</v>
      </c>
      <c r="I42" s="11">
        <f t="shared" si="22"/>
        <v>0</v>
      </c>
      <c r="J42" s="11">
        <f t="shared" si="22"/>
        <v>0</v>
      </c>
      <c r="K42" s="11">
        <f t="shared" si="22"/>
        <v>0</v>
      </c>
      <c r="L42" s="11">
        <f>L40-L41</f>
        <v>0</v>
      </c>
      <c r="M42" s="11">
        <f>M40-M41</f>
        <v>0</v>
      </c>
      <c r="N42" s="11">
        <v>31361.54</v>
      </c>
      <c r="O42" s="2">
        <f t="shared" si="0"/>
        <v>47601.75</v>
      </c>
      <c r="P42" s="40" t="s">
        <v>27</v>
      </c>
      <c r="Q42" s="40"/>
      <c r="R42" s="11">
        <f t="shared" ref="R42:Z42" si="23">R40-R41</f>
        <v>0</v>
      </c>
      <c r="S42" s="11">
        <f t="shared" si="23"/>
        <v>0</v>
      </c>
      <c r="T42" s="11">
        <f t="shared" si="23"/>
        <v>0</v>
      </c>
      <c r="U42" s="11">
        <f t="shared" si="23"/>
        <v>0</v>
      </c>
      <c r="V42" s="11">
        <f t="shared" si="23"/>
        <v>34014.879999999997</v>
      </c>
      <c r="W42" s="11">
        <f t="shared" si="23"/>
        <v>37272.259999999995</v>
      </c>
      <c r="X42" s="11">
        <f t="shared" si="23"/>
        <v>0</v>
      </c>
      <c r="Y42" s="11">
        <f t="shared" si="23"/>
        <v>0</v>
      </c>
      <c r="Z42" s="11">
        <f t="shared" si="23"/>
        <v>0</v>
      </c>
      <c r="AA42" s="11">
        <f>AA40-AA41</f>
        <v>0</v>
      </c>
      <c r="AB42" s="11">
        <f>AB40-AB41</f>
        <v>0</v>
      </c>
      <c r="AC42" s="11">
        <v>60141.37</v>
      </c>
      <c r="AD42" s="2">
        <f t="shared" si="1"/>
        <v>131428.50999999998</v>
      </c>
      <c r="AF42" s="51">
        <f t="shared" si="15"/>
        <v>179030.25999999998</v>
      </c>
    </row>
    <row r="43" spans="1:32">
      <c r="A43" s="113" t="s">
        <v>28</v>
      </c>
      <c r="B43" s="113"/>
      <c r="C43" s="10"/>
      <c r="D43" s="10"/>
      <c r="E43" s="9"/>
      <c r="F43" s="9"/>
      <c r="G43" s="9"/>
      <c r="H43" s="9"/>
      <c r="I43" s="9"/>
      <c r="J43" s="9"/>
      <c r="K43" s="9"/>
      <c r="L43" s="10"/>
      <c r="M43" s="9"/>
      <c r="N43" s="9"/>
      <c r="O43" s="2">
        <f t="shared" si="0"/>
        <v>0</v>
      </c>
      <c r="P43" s="40" t="s">
        <v>28</v>
      </c>
      <c r="Q43" s="40"/>
      <c r="R43" s="10"/>
      <c r="S43" s="10"/>
      <c r="T43" s="9"/>
      <c r="U43" s="9"/>
      <c r="V43" s="9"/>
      <c r="W43" s="9"/>
      <c r="X43" s="9"/>
      <c r="Y43" s="9"/>
      <c r="Z43" s="9"/>
      <c r="AA43" s="10"/>
      <c r="AB43" s="9"/>
      <c r="AC43" s="9"/>
      <c r="AD43" s="2">
        <f t="shared" si="1"/>
        <v>0</v>
      </c>
      <c r="AF43" s="51">
        <f t="shared" si="15"/>
        <v>0</v>
      </c>
    </row>
    <row r="44" spans="1:32">
      <c r="A44" s="113" t="s">
        <v>29</v>
      </c>
      <c r="B44" s="113"/>
      <c r="C44" s="10"/>
      <c r="D44" s="10"/>
      <c r="E44" s="10"/>
      <c r="F44" s="10"/>
      <c r="G44" s="10"/>
      <c r="H44" s="10"/>
      <c r="I44" s="10"/>
      <c r="J44" s="9"/>
      <c r="K44" s="9"/>
      <c r="L44" s="10"/>
      <c r="M44" s="9"/>
      <c r="N44" s="9"/>
      <c r="O44" s="2">
        <f t="shared" si="0"/>
        <v>0</v>
      </c>
      <c r="P44" s="40" t="s">
        <v>29</v>
      </c>
      <c r="Q44" s="40"/>
      <c r="R44" s="10"/>
      <c r="S44" s="10"/>
      <c r="T44" s="10"/>
      <c r="U44" s="10"/>
      <c r="V44" s="10"/>
      <c r="W44" s="10"/>
      <c r="X44" s="10"/>
      <c r="Y44" s="9"/>
      <c r="Z44" s="9"/>
      <c r="AA44" s="10"/>
      <c r="AB44" s="9"/>
      <c r="AC44" s="9"/>
      <c r="AD44" s="2">
        <f t="shared" si="1"/>
        <v>0</v>
      </c>
      <c r="AF44" s="51">
        <f t="shared" si="15"/>
        <v>0</v>
      </c>
    </row>
    <row r="45" spans="1:32" ht="30" customHeight="1">
      <c r="A45" s="113" t="s">
        <v>27</v>
      </c>
      <c r="B45" s="113"/>
      <c r="C45" s="11">
        <f t="shared" ref="C45:K45" si="24">C43-C44</f>
        <v>0</v>
      </c>
      <c r="D45" s="11">
        <f t="shared" si="24"/>
        <v>0</v>
      </c>
      <c r="E45" s="11">
        <f t="shared" si="24"/>
        <v>0</v>
      </c>
      <c r="F45" s="11">
        <f t="shared" si="24"/>
        <v>0</v>
      </c>
      <c r="G45" s="11">
        <f t="shared" si="24"/>
        <v>0</v>
      </c>
      <c r="H45" s="11">
        <f t="shared" si="24"/>
        <v>0</v>
      </c>
      <c r="I45" s="11">
        <f t="shared" si="24"/>
        <v>0</v>
      </c>
      <c r="J45" s="11">
        <f t="shared" si="24"/>
        <v>0</v>
      </c>
      <c r="K45" s="11">
        <f t="shared" si="24"/>
        <v>0</v>
      </c>
      <c r="L45" s="11">
        <f>L43-L44</f>
        <v>0</v>
      </c>
      <c r="M45" s="11">
        <f>M43-M44</f>
        <v>0</v>
      </c>
      <c r="N45" s="11">
        <f>N43-N44</f>
        <v>0</v>
      </c>
      <c r="O45" s="2">
        <f t="shared" si="0"/>
        <v>0</v>
      </c>
      <c r="P45" s="113" t="s">
        <v>27</v>
      </c>
      <c r="Q45" s="113"/>
      <c r="R45" s="11">
        <f t="shared" ref="R45:Z45" si="25">R43-R44</f>
        <v>0</v>
      </c>
      <c r="S45" s="11">
        <f t="shared" si="25"/>
        <v>0</v>
      </c>
      <c r="T45" s="11">
        <f t="shared" si="25"/>
        <v>0</v>
      </c>
      <c r="U45" s="11">
        <f t="shared" si="25"/>
        <v>0</v>
      </c>
      <c r="V45" s="11">
        <f t="shared" si="25"/>
        <v>0</v>
      </c>
      <c r="W45" s="11">
        <f t="shared" si="25"/>
        <v>0</v>
      </c>
      <c r="X45" s="11">
        <f t="shared" si="25"/>
        <v>0</v>
      </c>
      <c r="Y45" s="11">
        <f t="shared" si="25"/>
        <v>0</v>
      </c>
      <c r="Z45" s="11">
        <f t="shared" si="25"/>
        <v>0</v>
      </c>
      <c r="AA45" s="11">
        <f>AA43-AA44</f>
        <v>0</v>
      </c>
      <c r="AB45" s="11">
        <f>AB43-AB44</f>
        <v>0</v>
      </c>
      <c r="AC45" s="11">
        <f>AC43-AC44</f>
        <v>0</v>
      </c>
      <c r="AD45" s="2">
        <f t="shared" si="1"/>
        <v>0</v>
      </c>
      <c r="AF45" s="51">
        <f t="shared" si="15"/>
        <v>0</v>
      </c>
    </row>
    <row r="46" spans="1:32" ht="31.5" customHeight="1">
      <c r="A46" s="113" t="s">
        <v>30</v>
      </c>
      <c r="B46" s="113"/>
      <c r="C46" s="13">
        <f t="shared" ref="C46:K46" si="26">C42+C45</f>
        <v>0</v>
      </c>
      <c r="D46" s="13">
        <f t="shared" si="26"/>
        <v>0</v>
      </c>
      <c r="E46" s="13">
        <f t="shared" si="26"/>
        <v>0</v>
      </c>
      <c r="F46" s="13">
        <f t="shared" si="26"/>
        <v>0</v>
      </c>
      <c r="G46" s="13">
        <f t="shared" si="26"/>
        <v>173.59</v>
      </c>
      <c r="H46" s="13">
        <f t="shared" si="26"/>
        <v>16066.62</v>
      </c>
      <c r="I46" s="13">
        <f t="shared" si="26"/>
        <v>0</v>
      </c>
      <c r="J46" s="13">
        <f t="shared" si="26"/>
        <v>0</v>
      </c>
      <c r="K46" s="13">
        <f t="shared" si="26"/>
        <v>0</v>
      </c>
      <c r="L46" s="13">
        <f>L42+L45</f>
        <v>0</v>
      </c>
      <c r="M46" s="13">
        <f>M42+M45</f>
        <v>0</v>
      </c>
      <c r="N46" s="13">
        <f>N42+N45</f>
        <v>31361.54</v>
      </c>
      <c r="O46" s="2">
        <f t="shared" si="0"/>
        <v>47601.75</v>
      </c>
      <c r="P46" s="113" t="s">
        <v>30</v>
      </c>
      <c r="Q46" s="113"/>
      <c r="R46" s="13">
        <f t="shared" ref="R46:AC46" si="27">R42+R45</f>
        <v>0</v>
      </c>
      <c r="S46" s="13">
        <f t="shared" si="27"/>
        <v>0</v>
      </c>
      <c r="T46" s="13">
        <f t="shared" si="27"/>
        <v>0</v>
      </c>
      <c r="U46" s="13">
        <f t="shared" si="27"/>
        <v>0</v>
      </c>
      <c r="V46" s="13">
        <f t="shared" si="27"/>
        <v>34014.879999999997</v>
      </c>
      <c r="W46" s="13">
        <f t="shared" si="27"/>
        <v>37272.259999999995</v>
      </c>
      <c r="X46" s="13">
        <f t="shared" si="27"/>
        <v>0</v>
      </c>
      <c r="Y46" s="13">
        <f t="shared" si="27"/>
        <v>0</v>
      </c>
      <c r="Z46" s="13">
        <f t="shared" si="27"/>
        <v>0</v>
      </c>
      <c r="AA46" s="13">
        <f t="shared" si="27"/>
        <v>0</v>
      </c>
      <c r="AB46" s="13">
        <f t="shared" si="27"/>
        <v>0</v>
      </c>
      <c r="AC46" s="13">
        <f t="shared" si="27"/>
        <v>60141.37</v>
      </c>
      <c r="AD46" s="2">
        <f t="shared" si="1"/>
        <v>131428.50999999998</v>
      </c>
      <c r="AF46" s="51">
        <f t="shared" si="15"/>
        <v>179030.25999999998</v>
      </c>
    </row>
    <row r="47" spans="1:32">
      <c r="AF47" s="51"/>
    </row>
    <row r="48" spans="1:32">
      <c r="AC48" t="s">
        <v>79</v>
      </c>
    </row>
    <row r="50" spans="1:30" ht="18.75">
      <c r="A50" s="114" t="s">
        <v>52</v>
      </c>
      <c r="B50" s="114"/>
      <c r="C50" s="114"/>
      <c r="D50" s="114"/>
    </row>
    <row r="51" spans="1:30" ht="20.25">
      <c r="A51" s="17"/>
      <c r="B51" s="17"/>
      <c r="C51" s="17"/>
      <c r="D51" s="17"/>
      <c r="W51" s="120" t="s">
        <v>80</v>
      </c>
      <c r="X51" s="120"/>
      <c r="Y51" s="120"/>
      <c r="Z51" s="120"/>
      <c r="AA51" s="120"/>
      <c r="AB51" s="42">
        <f>AD39+80021.99</f>
        <v>67690.67971428571</v>
      </c>
    </row>
    <row r="52" spans="1:30" ht="27.75">
      <c r="A52" s="80" t="s">
        <v>54</v>
      </c>
      <c r="B52" s="80"/>
      <c r="C52" s="20" t="s">
        <v>55</v>
      </c>
      <c r="D52" s="21">
        <v>1000</v>
      </c>
      <c r="P52" s="121" t="s">
        <v>81</v>
      </c>
      <c r="Q52" s="121"/>
      <c r="R52" s="121"/>
      <c r="S52" s="121"/>
      <c r="T52" s="121"/>
      <c r="U52" s="121"/>
      <c r="W52" s="122" t="s">
        <v>82</v>
      </c>
      <c r="X52" s="123"/>
      <c r="Y52" s="123"/>
      <c r="Z52" s="123"/>
      <c r="AA52" s="124"/>
      <c r="AB52" s="43">
        <f>AC46</f>
        <v>60141.37</v>
      </c>
    </row>
    <row r="53" spans="1:30" ht="23.25">
      <c r="A53" s="80" t="s">
        <v>56</v>
      </c>
      <c r="B53" s="80"/>
      <c r="C53" s="20" t="s">
        <v>57</v>
      </c>
      <c r="D53" s="21">
        <v>500</v>
      </c>
      <c r="I53" s="83" t="s">
        <v>61</v>
      </c>
      <c r="J53" s="83"/>
      <c r="K53" s="83"/>
      <c r="L53" s="83"/>
      <c r="M53" s="83"/>
      <c r="N53" s="23">
        <f>-36287.99+O39</f>
        <v>-196107.5207142857</v>
      </c>
      <c r="P53" s="128" t="s">
        <v>83</v>
      </c>
      <c r="Q53" s="128"/>
      <c r="R53" s="128"/>
      <c r="S53" s="128"/>
      <c r="T53" s="44" t="s">
        <v>84</v>
      </c>
      <c r="U53" s="44">
        <v>707</v>
      </c>
      <c r="V53" s="45"/>
      <c r="W53" s="45"/>
      <c r="X53" s="46"/>
      <c r="Y53" s="46"/>
      <c r="Z53" s="46"/>
      <c r="AA53" s="46"/>
      <c r="AB53" s="46"/>
      <c r="AC53" s="46"/>
      <c r="AD53" s="46"/>
    </row>
    <row r="54" spans="1:30" ht="36" customHeight="1">
      <c r="A54" s="84" t="s">
        <v>58</v>
      </c>
      <c r="B54" s="80"/>
      <c r="C54" s="20" t="s">
        <v>59</v>
      </c>
      <c r="D54" s="21">
        <v>2000</v>
      </c>
      <c r="I54" s="83" t="s">
        <v>62</v>
      </c>
      <c r="J54" s="83"/>
      <c r="K54" s="83"/>
      <c r="L54" s="83"/>
      <c r="M54" s="83"/>
      <c r="N54" s="26">
        <f>-36287.99+N53</f>
        <v>-232395.51071428569</v>
      </c>
      <c r="P54" s="128" t="s">
        <v>85</v>
      </c>
      <c r="Q54" s="128"/>
      <c r="R54" s="128"/>
      <c r="S54" s="128"/>
      <c r="T54" s="44" t="s">
        <v>77</v>
      </c>
      <c r="U54" s="44">
        <v>42347</v>
      </c>
      <c r="V54" s="45"/>
      <c r="W54" s="45"/>
      <c r="X54" s="46"/>
      <c r="Y54" s="46"/>
      <c r="Z54" s="46"/>
      <c r="AA54" s="46"/>
      <c r="AB54" s="46"/>
      <c r="AC54" s="46"/>
      <c r="AD54" s="46"/>
    </row>
    <row r="55" spans="1:30" ht="21">
      <c r="A55" s="80" t="s">
        <v>64</v>
      </c>
      <c r="B55" s="80"/>
      <c r="C55" s="20" t="s">
        <v>57</v>
      </c>
      <c r="D55" s="21">
        <v>1906.55</v>
      </c>
      <c r="I55" s="82"/>
      <c r="J55" s="82"/>
      <c r="K55" s="82"/>
      <c r="L55" s="82"/>
      <c r="M55" s="82"/>
      <c r="P55" s="128" t="s">
        <v>86</v>
      </c>
      <c r="Q55" s="128"/>
      <c r="R55" s="128"/>
      <c r="S55" s="128"/>
      <c r="T55" s="44" t="s">
        <v>57</v>
      </c>
      <c r="U55" s="44">
        <v>16086</v>
      </c>
      <c r="V55" s="45"/>
      <c r="W55" s="45"/>
      <c r="X55" s="46"/>
      <c r="Y55" s="46"/>
      <c r="Z55" s="46"/>
      <c r="AA55" s="46"/>
      <c r="AB55" s="46"/>
      <c r="AC55" s="46"/>
      <c r="AD55" s="46"/>
    </row>
    <row r="56" spans="1:30" ht="21">
      <c r="A56" s="80" t="s">
        <v>65</v>
      </c>
      <c r="B56" s="80"/>
      <c r="C56" s="20" t="s">
        <v>66</v>
      </c>
      <c r="D56" s="21">
        <v>2252</v>
      </c>
      <c r="P56" s="129" t="s">
        <v>87</v>
      </c>
      <c r="Q56" s="130"/>
      <c r="R56" s="130"/>
      <c r="S56" s="131"/>
      <c r="T56" s="47" t="s">
        <v>59</v>
      </c>
      <c r="U56" s="47">
        <v>1500</v>
      </c>
      <c r="V56" s="45"/>
      <c r="W56" s="45"/>
      <c r="X56" s="46"/>
      <c r="Y56" s="46"/>
      <c r="Z56" s="46"/>
      <c r="AA56" s="46"/>
      <c r="AB56" s="46"/>
      <c r="AC56" s="46"/>
      <c r="AD56" s="46"/>
    </row>
    <row r="57" spans="1:30" ht="38.25" customHeight="1">
      <c r="A57" s="84" t="s">
        <v>67</v>
      </c>
      <c r="B57" s="80"/>
      <c r="C57" s="20" t="s">
        <v>68</v>
      </c>
      <c r="D57" s="21">
        <v>68932</v>
      </c>
      <c r="P57" s="129" t="s">
        <v>88</v>
      </c>
      <c r="Q57" s="130"/>
      <c r="R57" s="130"/>
      <c r="S57" s="131"/>
      <c r="T57" s="47" t="s">
        <v>66</v>
      </c>
      <c r="U57" s="47">
        <v>10400</v>
      </c>
      <c r="V57" s="45"/>
      <c r="W57" s="45"/>
      <c r="X57" s="46"/>
      <c r="Y57" s="46"/>
      <c r="Z57" s="46"/>
      <c r="AA57" s="46"/>
      <c r="AB57" s="46"/>
      <c r="AC57" s="46"/>
      <c r="AD57" s="46"/>
    </row>
    <row r="58" spans="1:30" ht="21">
      <c r="A58" s="80" t="s">
        <v>69</v>
      </c>
      <c r="B58" s="80"/>
      <c r="C58" s="20" t="s">
        <v>68</v>
      </c>
      <c r="D58" s="21">
        <v>40000</v>
      </c>
      <c r="P58" s="125"/>
      <c r="Q58" s="126"/>
      <c r="R58" s="126"/>
      <c r="S58" s="127"/>
      <c r="T58" s="47"/>
      <c r="U58" s="47"/>
      <c r="V58" s="45"/>
      <c r="W58" s="45"/>
      <c r="X58" s="46"/>
      <c r="Y58" s="46"/>
      <c r="Z58" s="46"/>
      <c r="AA58" s="46"/>
      <c r="AB58" s="46"/>
      <c r="AC58" s="46"/>
      <c r="AD58" s="46"/>
    </row>
    <row r="59" spans="1:30" ht="21">
      <c r="A59" s="80" t="s">
        <v>70</v>
      </c>
      <c r="B59" s="80"/>
      <c r="C59" s="20" t="s">
        <v>68</v>
      </c>
      <c r="D59" s="21">
        <v>5500</v>
      </c>
      <c r="P59" s="45"/>
      <c r="Q59" s="45"/>
      <c r="R59" s="45"/>
      <c r="S59" s="45"/>
      <c r="T59" s="45"/>
      <c r="U59" s="45"/>
      <c r="V59" s="45"/>
      <c r="W59" s="45"/>
      <c r="X59" s="46"/>
      <c r="Y59" s="46"/>
      <c r="Z59" s="46"/>
      <c r="AA59" s="46"/>
      <c r="AB59" s="46"/>
      <c r="AC59" s="46"/>
      <c r="AD59" s="46"/>
    </row>
    <row r="60" spans="1:30" ht="56.25" customHeight="1">
      <c r="A60" s="84" t="s">
        <v>71</v>
      </c>
      <c r="B60" s="80"/>
      <c r="C60" s="20" t="s">
        <v>68</v>
      </c>
      <c r="D60" s="21">
        <f>2000+1846</f>
        <v>3846</v>
      </c>
      <c r="P60" s="45"/>
      <c r="Q60" s="45"/>
      <c r="R60" s="45"/>
      <c r="S60" s="45"/>
      <c r="T60" s="45"/>
      <c r="U60" s="45"/>
      <c r="V60" s="45"/>
      <c r="W60" s="45"/>
      <c r="X60" s="46"/>
      <c r="Y60" s="46"/>
      <c r="Z60" s="46"/>
      <c r="AA60" s="46"/>
      <c r="AB60" s="46"/>
      <c r="AC60" s="46"/>
      <c r="AD60" s="46"/>
    </row>
    <row r="61" spans="1:30" ht="39" customHeight="1">
      <c r="A61" s="84" t="s">
        <v>73</v>
      </c>
      <c r="B61" s="80"/>
      <c r="C61" s="20" t="s">
        <v>72</v>
      </c>
      <c r="D61" s="21">
        <v>5000</v>
      </c>
      <c r="P61" s="45"/>
      <c r="Q61" s="45"/>
      <c r="R61" s="45"/>
      <c r="S61" s="45"/>
      <c r="T61" s="45"/>
      <c r="U61" s="45"/>
      <c r="V61" s="45"/>
      <c r="W61" s="45"/>
      <c r="X61" s="46"/>
      <c r="Y61" s="46"/>
      <c r="Z61" s="46"/>
      <c r="AA61" s="46"/>
      <c r="AB61" s="46"/>
      <c r="AC61" s="46"/>
      <c r="AD61" s="46"/>
    </row>
    <row r="62" spans="1:30" ht="21">
      <c r="A62" s="80" t="s">
        <v>74</v>
      </c>
      <c r="B62" s="80"/>
      <c r="C62" s="20" t="s">
        <v>68</v>
      </c>
      <c r="D62" s="21">
        <v>12345.1</v>
      </c>
      <c r="P62" s="45"/>
      <c r="Q62" s="48"/>
      <c r="R62" s="49"/>
      <c r="S62" s="48"/>
      <c r="T62" s="48"/>
      <c r="U62" s="48"/>
      <c r="V62" s="45"/>
      <c r="W62" s="45"/>
      <c r="X62" s="46"/>
      <c r="Y62" s="46"/>
      <c r="Z62" s="46"/>
      <c r="AA62" s="46"/>
      <c r="AB62" s="46"/>
      <c r="AC62" s="46"/>
      <c r="AD62" s="46"/>
    </row>
    <row r="63" spans="1:30" ht="21">
      <c r="A63" s="80" t="s">
        <v>75</v>
      </c>
      <c r="B63" s="80"/>
      <c r="C63" s="20" t="s">
        <v>66</v>
      </c>
      <c r="D63" s="21">
        <v>7746</v>
      </c>
      <c r="P63" s="45"/>
      <c r="Q63" s="45"/>
      <c r="R63" s="45"/>
      <c r="S63" s="45"/>
      <c r="T63" s="45"/>
      <c r="U63" s="45"/>
      <c r="V63" s="45"/>
      <c r="W63" s="45"/>
      <c r="X63" s="46"/>
      <c r="Y63" s="46"/>
      <c r="Z63" s="46"/>
      <c r="AA63" s="46"/>
      <c r="AB63" s="46"/>
      <c r="AC63" s="46"/>
      <c r="AD63" s="46"/>
    </row>
    <row r="64" spans="1:30" ht="21">
      <c r="A64" s="86" t="s">
        <v>76</v>
      </c>
      <c r="B64" s="87"/>
      <c r="C64" s="20" t="s">
        <v>77</v>
      </c>
      <c r="D64" s="21">
        <v>2447.4</v>
      </c>
      <c r="P64" s="45"/>
      <c r="Q64" s="45"/>
      <c r="R64" s="45"/>
      <c r="S64" s="45"/>
      <c r="T64" s="45"/>
      <c r="U64" s="45"/>
      <c r="V64" s="45"/>
      <c r="W64" s="45"/>
      <c r="X64" s="46"/>
      <c r="Y64" s="46"/>
      <c r="Z64" s="46"/>
      <c r="AA64" s="46"/>
      <c r="AB64" s="46"/>
      <c r="AC64" s="46"/>
      <c r="AD64" s="46"/>
    </row>
    <row r="65" spans="1:30" ht="20.25">
      <c r="A65" s="80"/>
      <c r="B65" s="80"/>
      <c r="C65" s="20"/>
      <c r="D65" s="22">
        <f>SUM(D52:D64)</f>
        <v>153475.04999999999</v>
      </c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</row>
    <row r="66" spans="1:30" ht="18.75">
      <c r="A66" s="79"/>
      <c r="B66" s="79"/>
      <c r="C66" s="17"/>
      <c r="D66" s="17"/>
    </row>
    <row r="67" spans="1:30" ht="18.75">
      <c r="A67" s="79"/>
      <c r="B67" s="79"/>
      <c r="C67" s="17"/>
      <c r="D67" s="17"/>
    </row>
    <row r="68" spans="1:30" ht="18.75">
      <c r="A68" s="79"/>
      <c r="B68" s="79"/>
      <c r="C68" s="17"/>
      <c r="D68" s="17"/>
    </row>
    <row r="69" spans="1:30" ht="18.75">
      <c r="A69" s="79"/>
      <c r="B69" s="79"/>
      <c r="C69" s="17"/>
      <c r="D69" s="17"/>
    </row>
    <row r="70" spans="1:30" ht="18.75">
      <c r="A70" s="79"/>
      <c r="B70" s="79"/>
      <c r="C70" s="17"/>
      <c r="D70" s="17"/>
    </row>
    <row r="71" spans="1:30" ht="18.75">
      <c r="A71" s="79"/>
      <c r="B71" s="79"/>
      <c r="C71" s="17"/>
      <c r="D71" s="17"/>
    </row>
    <row r="72" spans="1:30">
      <c r="A72" s="78"/>
      <c r="B72" s="78"/>
      <c r="C72" s="18"/>
      <c r="D72" s="18"/>
    </row>
    <row r="73" spans="1:30">
      <c r="A73" s="78"/>
      <c r="B73" s="78"/>
      <c r="C73" s="18"/>
      <c r="D73" s="18"/>
    </row>
    <row r="74" spans="1:30">
      <c r="A74" s="27"/>
      <c r="B74" s="18"/>
      <c r="C74" s="18"/>
      <c r="D74" s="18"/>
    </row>
    <row r="75" spans="1:30">
      <c r="A75" s="27"/>
      <c r="B75" s="18"/>
      <c r="C75" s="18"/>
      <c r="D75" s="18"/>
    </row>
    <row r="76" spans="1:30">
      <c r="A76" s="18"/>
      <c r="B76" s="18"/>
      <c r="C76" s="18"/>
      <c r="D76" s="18"/>
    </row>
  </sheetData>
  <mergeCells count="91">
    <mergeCell ref="P58:S58"/>
    <mergeCell ref="P53:S53"/>
    <mergeCell ref="P54:S54"/>
    <mergeCell ref="P55:S55"/>
    <mergeCell ref="P56:S56"/>
    <mergeCell ref="P57:S57"/>
    <mergeCell ref="P45:Q45"/>
    <mergeCell ref="P46:Q46"/>
    <mergeCell ref="W51:AA51"/>
    <mergeCell ref="P52:U52"/>
    <mergeCell ref="W52:AA52"/>
    <mergeCell ref="P32:Q32"/>
    <mergeCell ref="P37:Q37"/>
    <mergeCell ref="P38:Q38"/>
    <mergeCell ref="P26:Q26"/>
    <mergeCell ref="P27:Q27"/>
    <mergeCell ref="P28:Q28"/>
    <mergeCell ref="P29:Q29"/>
    <mergeCell ref="P30:Q30"/>
    <mergeCell ref="P17:P19"/>
    <mergeCell ref="P20:Q20"/>
    <mergeCell ref="P21:Q21"/>
    <mergeCell ref="P22:Q22"/>
    <mergeCell ref="P25:Q25"/>
    <mergeCell ref="P4:Q4"/>
    <mergeCell ref="P5:P7"/>
    <mergeCell ref="P8:P10"/>
    <mergeCell ref="P11:P13"/>
    <mergeCell ref="P14:P16"/>
    <mergeCell ref="P1:Q1"/>
    <mergeCell ref="AD1:AD2"/>
    <mergeCell ref="P2:Q2"/>
    <mergeCell ref="R2:AC2"/>
    <mergeCell ref="P3:Q3"/>
    <mergeCell ref="A20:B20"/>
    <mergeCell ref="A1:B1"/>
    <mergeCell ref="O1:O2"/>
    <mergeCell ref="A2:B2"/>
    <mergeCell ref="C2:N2"/>
    <mergeCell ref="A3:B3"/>
    <mergeCell ref="A4:B4"/>
    <mergeCell ref="A5:A7"/>
    <mergeCell ref="A8:A10"/>
    <mergeCell ref="A11:A13"/>
    <mergeCell ref="A14:A16"/>
    <mergeCell ref="A17:A19"/>
    <mergeCell ref="A39:B39"/>
    <mergeCell ref="A21:B21"/>
    <mergeCell ref="A22:B22"/>
    <mergeCell ref="A25:B25"/>
    <mergeCell ref="A26:B26"/>
    <mergeCell ref="A27:B27"/>
    <mergeCell ref="A29:B29"/>
    <mergeCell ref="A30:B30"/>
    <mergeCell ref="A33:A35"/>
    <mergeCell ref="A36:B36"/>
    <mergeCell ref="A37:B37"/>
    <mergeCell ref="A38:B38"/>
    <mergeCell ref="A54:B54"/>
    <mergeCell ref="I54:M54"/>
    <mergeCell ref="A40:B40"/>
    <mergeCell ref="A41:B41"/>
    <mergeCell ref="A42:B42"/>
    <mergeCell ref="A43:B43"/>
    <mergeCell ref="A44:B44"/>
    <mergeCell ref="A45:B45"/>
    <mergeCell ref="A46:B46"/>
    <mergeCell ref="A50:D50"/>
    <mergeCell ref="A52:B52"/>
    <mergeCell ref="A53:B53"/>
    <mergeCell ref="I53:M53"/>
    <mergeCell ref="A65:B65"/>
    <mergeCell ref="A55:B55"/>
    <mergeCell ref="I55:M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72:B72"/>
    <mergeCell ref="A73:B73"/>
    <mergeCell ref="A66:B66"/>
    <mergeCell ref="A67:B67"/>
    <mergeCell ref="A68:B68"/>
    <mergeCell ref="A69:B69"/>
    <mergeCell ref="A70:B70"/>
    <mergeCell ref="A71:B71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2014 год</vt:lpstr>
      <vt:lpstr>Лист1 (2)</vt:lpstr>
      <vt:lpstr>'2014 год'!Область_печати</vt:lpstr>
      <vt:lpstr>'Лист1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Gorbunov</dc:creator>
  <cp:lastModifiedBy>admin</cp:lastModifiedBy>
  <cp:lastPrinted>2014-04-22T09:16:00Z</cp:lastPrinted>
  <dcterms:created xsi:type="dcterms:W3CDTF">2010-11-14T08:15:18Z</dcterms:created>
  <dcterms:modified xsi:type="dcterms:W3CDTF">2014-04-22T09:16:55Z</dcterms:modified>
</cp:coreProperties>
</file>